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13" firstSheet="16" activeTab="18"/>
  </bookViews>
  <sheets>
    <sheet name="Prom.Precs.Anual Pub. 2000" sheetId="1" r:id="rId1"/>
    <sheet name="Prom.Precs.Anual Combusts.2001" sheetId="2" r:id="rId2"/>
    <sheet name="Prom.Anual Precs.Pub. 2002" sheetId="3" r:id="rId3"/>
    <sheet name="Prom.Anual Precs.Pub. 2003" sheetId="4" r:id="rId4"/>
    <sheet name="Prom.Precios Anual Combust 2004" sheetId="5" r:id="rId5"/>
    <sheet name="Prom.Precio Anual Combts 2005" sheetId="6" r:id="rId6"/>
    <sheet name="Prom. de Precios Año 2006" sheetId="7" r:id="rId7"/>
    <sheet name="Prom.Precio Anual Ano 2007" sheetId="8" r:id="rId8"/>
    <sheet name="Prom.precio anual 2008" sheetId="9" r:id="rId9"/>
    <sheet name="Prom.Anual precios pub. 2009" sheetId="10" r:id="rId10"/>
    <sheet name="Prom.Anual Precs.Public.2010" sheetId="11" r:id="rId11"/>
    <sheet name="Prom. Anual Publico 2011" sheetId="12" r:id="rId12"/>
    <sheet name="Prom.Anual Precios al Pub.2012" sheetId="13" r:id="rId13"/>
    <sheet name="Prom.Anual Precios al Pub. 2013" sheetId="14" r:id="rId14"/>
    <sheet name="Prom.Anual Precios al Pub. 2014" sheetId="15" r:id="rId15"/>
    <sheet name="Prom.Anual al Pub 2015" sheetId="16" r:id="rId16"/>
    <sheet name="Prom.Anual al Pub. 2016" sheetId="17" r:id="rId17"/>
    <sheet name="Prom. Anual al Pub. 2017" sheetId="18" r:id="rId18"/>
    <sheet name="Prom. Anual al Pub. 2018" sheetId="19" r:id="rId19"/>
    <sheet name="Serie Proms. Anual 2000 - 2016" sheetId="20" r:id="rId20"/>
  </sheets>
  <externalReferences>
    <externalReference r:id="rId23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<sst xmlns="http://schemas.openxmlformats.org/spreadsheetml/2006/main" count="1446" uniqueCount="1072">
  <si>
    <t>GASOLINA PREMIUN</t>
  </si>
  <si>
    <t>GASOLINA REGULAR</t>
  </si>
  <si>
    <t>GASOIL REGULAR</t>
  </si>
  <si>
    <t>GASOIL REGULAR EGP-C (NO-INTERC)</t>
  </si>
  <si>
    <t>GASOIL REGULAR EGP-T (NO-INTERC)</t>
  </si>
  <si>
    <t>GASOIL REGULAR EGP-C (INTERC)</t>
  </si>
  <si>
    <t>GASOIL REGULAR EGP-T (INTERC)</t>
  </si>
  <si>
    <t>GASOIL PREMIUN 0.3% A.</t>
  </si>
  <si>
    <t>GASOIL PREMIUN EGP-C</t>
  </si>
  <si>
    <t>GASOIL PREMIUN EGP-T</t>
  </si>
  <si>
    <t xml:space="preserve">AVTUR </t>
  </si>
  <si>
    <t>FUEL OIL</t>
  </si>
  <si>
    <t>FUEL OIL EGP-C (NO INTERC)</t>
  </si>
  <si>
    <t>FUEL OIL EGP-T (NO INTERC)</t>
  </si>
  <si>
    <t>FUEL OIL EGP-C (INTERC)</t>
  </si>
  <si>
    <t>FUEL OIL EGP-T (INTERC)</t>
  </si>
  <si>
    <t>TIPOS DE COMBUSTIBLES</t>
  </si>
  <si>
    <t>GLP - SUBSIDIADO</t>
  </si>
  <si>
    <t>GLP - NO-SUBSIDIADO</t>
  </si>
  <si>
    <t>KEROSENE</t>
  </si>
  <si>
    <t>31- DIC AL 06- ENE- 2006</t>
  </si>
  <si>
    <t>7 AL 13 ENE 2006</t>
  </si>
  <si>
    <t>14 AL 20 ENE 2006</t>
  </si>
  <si>
    <t>21 AL 27 ENE 2006</t>
  </si>
  <si>
    <t>04 AL 10 FEB 2006</t>
  </si>
  <si>
    <t>11 AL 17 FEB 2006</t>
  </si>
  <si>
    <t>18 AL 24 FEB 2006</t>
  </si>
  <si>
    <t>25 FEB AL 03 MAR 2006</t>
  </si>
  <si>
    <t>28 ENE AL 03 FEB 2006</t>
  </si>
  <si>
    <t>04 AL 10 MAR 2006</t>
  </si>
  <si>
    <t>11 AL 17 MAR 2006</t>
  </si>
  <si>
    <t>18 AL 24 MAR 2006</t>
  </si>
  <si>
    <t>25 AL 31 MAR 2006</t>
  </si>
  <si>
    <t>01 AL 07 ABRIL 2006</t>
  </si>
  <si>
    <t>08 AL 14 ABRIL 2006</t>
  </si>
  <si>
    <t>AÑO 2006</t>
  </si>
  <si>
    <t>15 AL 21 ABRIL 2006</t>
  </si>
  <si>
    <t>22 AL 28 ABRIL 2006</t>
  </si>
  <si>
    <t>29 ABR AL 05 MAY 2006</t>
  </si>
  <si>
    <t>06 AL 12 MAYO 2006</t>
  </si>
  <si>
    <t>13 AL 19 MAYO 2006</t>
  </si>
  <si>
    <t>20 AL 26 MAYO 2006</t>
  </si>
  <si>
    <t>27 MAY AL 02 JUN 2006</t>
  </si>
  <si>
    <t>03 AL 09 JUNIO 2006</t>
  </si>
  <si>
    <t>10 AL 16 JUNIO 2006</t>
  </si>
  <si>
    <t>17 AL 23 JUNIO 2006</t>
  </si>
  <si>
    <t>24 AL 30 JUNIO 2006</t>
  </si>
  <si>
    <t>01 AL 07 JULIO 2006</t>
  </si>
  <si>
    <t>08 AL 14 JULIO 2006</t>
  </si>
  <si>
    <t>15 AL 21 JULIO 2006</t>
  </si>
  <si>
    <t>22 AL 28 JULIO 2006</t>
  </si>
  <si>
    <t>29 JUL AL 24 AGO 2006</t>
  </si>
  <si>
    <t>05 AL 11 AGOSTO 2006</t>
  </si>
  <si>
    <t>12 AL 18 AGOSTO 2006</t>
  </si>
  <si>
    <t>19 AL 25 AGOSTO 2006</t>
  </si>
  <si>
    <t>26 AGO AL 01 SEPT 2006</t>
  </si>
  <si>
    <t>02 AL 08 SEPT 2006</t>
  </si>
  <si>
    <t>09 AL 15 SEPT 2006</t>
  </si>
  <si>
    <t>16 AL 22 SEPT 2006</t>
  </si>
  <si>
    <t>23 AL 29 SEPT 2006</t>
  </si>
  <si>
    <t>30 SEPT AL 06 OCT 2006</t>
  </si>
  <si>
    <t>07 AL 13 OCT 2006</t>
  </si>
  <si>
    <t>14 AL 20 OCT 2006</t>
  </si>
  <si>
    <t>21 AL 27 OCT 2006</t>
  </si>
  <si>
    <t>28 OCT AL 03 NOV 2006</t>
  </si>
  <si>
    <t>PROM. GRAL. ANUAL</t>
  </si>
  <si>
    <t>04 AL 10 NOV 2006</t>
  </si>
  <si>
    <t>11 AL 17 NOV 2006</t>
  </si>
  <si>
    <t>18 AL 24 NOV 2006</t>
  </si>
  <si>
    <t>25 NOV AL 01 DIC 2006</t>
  </si>
  <si>
    <t>02 AL 08 DIC 2006</t>
  </si>
  <si>
    <t>09 AL 15 DIC 2006</t>
  </si>
  <si>
    <t>16 AL 22 DIC 2006</t>
  </si>
  <si>
    <t>23 AL 29 DIC 2006</t>
  </si>
  <si>
    <t>AÑO 2004</t>
  </si>
  <si>
    <t xml:space="preserve">GLP </t>
  </si>
  <si>
    <t>10 AL 16 ENE 2004</t>
  </si>
  <si>
    <t>17 AL 23 ENE 2004</t>
  </si>
  <si>
    <t>24 AL 30 ENE 2004</t>
  </si>
  <si>
    <t>31 ENE AL 06 FEB 2004</t>
  </si>
  <si>
    <t>07 AL 13 FEB 2004</t>
  </si>
  <si>
    <t>14 AL 20 FEB 2004</t>
  </si>
  <si>
    <t>21 AL 27 FEB 2004</t>
  </si>
  <si>
    <t>28 FEB AL 05 MAR 2004</t>
  </si>
  <si>
    <t>06 AL 12 MAR 2004</t>
  </si>
  <si>
    <t>13 AL 19 MAR 2004</t>
  </si>
  <si>
    <t>20 AL 26 MAR 2004</t>
  </si>
  <si>
    <t>27 MAR AL 02 ABR 2004</t>
  </si>
  <si>
    <t>03 AL 09 ABRIL 2004</t>
  </si>
  <si>
    <t>10 AL 16 ABRIL 2004</t>
  </si>
  <si>
    <t>17 AL 23 ABRIL 2004</t>
  </si>
  <si>
    <t>24 AL 30 ABRIL 2004</t>
  </si>
  <si>
    <t>01 AL 07 MAYO 2004</t>
  </si>
  <si>
    <t>08 AL 14 MAYO 2004</t>
  </si>
  <si>
    <t>15 AL 21 MAYO 2004</t>
  </si>
  <si>
    <t>22 AL 28 MAYO 2004</t>
  </si>
  <si>
    <t>29 MAY AL 04 JUN 2004</t>
  </si>
  <si>
    <t>05 AL 11 JUNIO 2004</t>
  </si>
  <si>
    <t>12 AL 18 JUNIO 2004</t>
  </si>
  <si>
    <t>19 AL 25 JUNIO 2004</t>
  </si>
  <si>
    <t>26 JUN AL 02 JUL 2004</t>
  </si>
  <si>
    <t>03 AL 09 JULIO 2004</t>
  </si>
  <si>
    <t>10 AL 16 JULIO 2004</t>
  </si>
  <si>
    <t>17 AL 23 JULIO 2004</t>
  </si>
  <si>
    <t>24 AL 30 JULIO 2004</t>
  </si>
  <si>
    <t>31 JUL AL 06 AGO 2004</t>
  </si>
  <si>
    <t>07 AL 13 AGOSTO 2004</t>
  </si>
  <si>
    <t>14 AL 20 AGOSTO 2004</t>
  </si>
  <si>
    <t>21 AL 27 AGOSTO 2004</t>
  </si>
  <si>
    <t>28 AGO AL 03 SEPT 2004</t>
  </si>
  <si>
    <t>04 AL 10 SEPT 2004</t>
  </si>
  <si>
    <t>11 AL 17 SEPT 2004</t>
  </si>
  <si>
    <t>18 AL 24 SEPT 2004</t>
  </si>
  <si>
    <t>25 SEPT AL 01 OCT 2004</t>
  </si>
  <si>
    <t>02 AL 08 OCT 2004</t>
  </si>
  <si>
    <t>09 AL 15 OCT 2004</t>
  </si>
  <si>
    <t>16 AL 22 OCT 2004</t>
  </si>
  <si>
    <t>23 AL 29 OCT 2004</t>
  </si>
  <si>
    <t>30 OCT AL 05 NOV 2004</t>
  </si>
  <si>
    <t>06 AL 12 NOV 2004</t>
  </si>
  <si>
    <t>13 AL 19 NOV 2004</t>
  </si>
  <si>
    <t>20 AL 26 NOV 2004</t>
  </si>
  <si>
    <t>27 NOV AL 03 DIC 2004</t>
  </si>
  <si>
    <t>04 AL 10 DIC 2004</t>
  </si>
  <si>
    <t>11 AL 17 DIC 2004</t>
  </si>
  <si>
    <t>18 AL 24 DIC 2004</t>
  </si>
  <si>
    <t>25 AL 31 DIC 2004</t>
  </si>
  <si>
    <t>AÑO 2005</t>
  </si>
  <si>
    <t>01 AL 07 ENE 2005</t>
  </si>
  <si>
    <t>08 AL 14 ENE 2005</t>
  </si>
  <si>
    <t>15 AL 21 ENE 2005</t>
  </si>
  <si>
    <t>22 AL 28 ENE 2005</t>
  </si>
  <si>
    <t>29 ENE AL 04 FEB 2005</t>
  </si>
  <si>
    <t>05 AL 11 FEB 2005</t>
  </si>
  <si>
    <t>12 AL 18 FEB 2005</t>
  </si>
  <si>
    <t>19 AL 25 FEB 2005</t>
  </si>
  <si>
    <t>26 FEB AL 04 MAR 2005</t>
  </si>
  <si>
    <t>05 AL 11 MAR 2005</t>
  </si>
  <si>
    <t>12 AL 18 MAR 2005</t>
  </si>
  <si>
    <t>19 AL 25 MAR 2005</t>
  </si>
  <si>
    <t>26 MAR AL 01 ABR 2005</t>
  </si>
  <si>
    <t>02 AL 08 ABRIL 2005</t>
  </si>
  <si>
    <t>09 AL 15 ABRIL 2005</t>
  </si>
  <si>
    <t>16 AL 22 ABRIL 2005</t>
  </si>
  <si>
    <t>23 AL 29 ABRIL 2005</t>
  </si>
  <si>
    <t>30 ABR AL 06 MAY 2005</t>
  </si>
  <si>
    <t>07 AL 13 MAYO 2005</t>
  </si>
  <si>
    <t>14 AL 20 MAYO 2005</t>
  </si>
  <si>
    <t>21 AL 27 MAYO 2005</t>
  </si>
  <si>
    <t>28 MAY AL 03 JUN 2005</t>
  </si>
  <si>
    <t>04 AL 10 JUNIO 2005</t>
  </si>
  <si>
    <t>11 AL 17 JUNIO 2005</t>
  </si>
  <si>
    <t>18 AL 24 JUNIO 2005</t>
  </si>
  <si>
    <t>25 JUN AL 01 JUL 2005</t>
  </si>
  <si>
    <t>02 AL 08 JULIO 2005</t>
  </si>
  <si>
    <t>09 AL 15 JULIO 2005</t>
  </si>
  <si>
    <t>16 AL 22 JULIO 2005</t>
  </si>
  <si>
    <t>23 AL 29 JULIO 2005</t>
  </si>
  <si>
    <t>30 JUL AL 05 AGO 2005</t>
  </si>
  <si>
    <t>06 AL 12 AGOSTO 2005</t>
  </si>
  <si>
    <t>13 AL 19 AGOSTO 2005</t>
  </si>
  <si>
    <t>20 AL 26 AGOSTO 2005</t>
  </si>
  <si>
    <t>27 AGO AL 02 SEPT 2005</t>
  </si>
  <si>
    <t>03 AL 09 SEPT 2005</t>
  </si>
  <si>
    <t>10 AL 16 SEPT 2005</t>
  </si>
  <si>
    <t>17 AL 23 SEPT 2005</t>
  </si>
  <si>
    <t>24 AL 30 SEPT 2005</t>
  </si>
  <si>
    <t>01 AL 07 OCT 2005</t>
  </si>
  <si>
    <t>08 AL 14 OCT 2005</t>
  </si>
  <si>
    <t>15 AL 21 OCT 2005</t>
  </si>
  <si>
    <t>22 AL 28 OCT 2005</t>
  </si>
  <si>
    <t>29 OCT AL 04 NOV 2005</t>
  </si>
  <si>
    <t>05 AL 11 NOV 2005</t>
  </si>
  <si>
    <t>12 AL 18 NOV 2005</t>
  </si>
  <si>
    <t>19 AL 25 NOV 2005</t>
  </si>
  <si>
    <t>26 NOV AL 02 DIC 2005</t>
  </si>
  <si>
    <t>03 AL 09 DIC 2005</t>
  </si>
  <si>
    <t>10 AL 16 DIC 2005</t>
  </si>
  <si>
    <t>17 AL 23 DIC 2005</t>
  </si>
  <si>
    <t>24 AL 30 DIC 2005</t>
  </si>
  <si>
    <t>AÑO 2007</t>
  </si>
  <si>
    <t>14 AL 20 ENE 2007</t>
  </si>
  <si>
    <t>30- DIC AL 05- ENE- 2007</t>
  </si>
  <si>
    <t>06 AL 12 ENE 2007</t>
  </si>
  <si>
    <t>20 AL 26 ENE 2007</t>
  </si>
  <si>
    <t>27 ENE AL 02 FEB 2007</t>
  </si>
  <si>
    <t>03 AL 09 FEB 2007</t>
  </si>
  <si>
    <t>10 AL 16 FEB 2007</t>
  </si>
  <si>
    <t>17 AL 23 FEB 2007</t>
  </si>
  <si>
    <t>24 FEB AL 02 MAR 2007</t>
  </si>
  <si>
    <t>03 AL 09 MAR 2007</t>
  </si>
  <si>
    <t>10 AL 16 MAR 2007</t>
  </si>
  <si>
    <t>17 AL 23 MAR 2007</t>
  </si>
  <si>
    <t>24 AL 30 MAR 2007</t>
  </si>
  <si>
    <t>31 MAR AL 06 ABR 2007</t>
  </si>
  <si>
    <t>07 AL 13 ABRIL 2007</t>
  </si>
  <si>
    <t>14 AL 20 ABRIL 2007</t>
  </si>
  <si>
    <t>21 AL 27 ABRIL 2007</t>
  </si>
  <si>
    <t>28 ABR AL 04 MAY 2007</t>
  </si>
  <si>
    <t>05 AL 11 MAYO 2007</t>
  </si>
  <si>
    <t>12 AL 18 MAYO 2007</t>
  </si>
  <si>
    <t>19 AL 25 MAYO 2007</t>
  </si>
  <si>
    <t>26 MAY AL 01 JUN 2007</t>
  </si>
  <si>
    <t>02 AL 08 JUNIO 2007</t>
  </si>
  <si>
    <t>09 AL 15 JUNIO 2007</t>
  </si>
  <si>
    <t>16 AL 22 JUNIO 2007</t>
  </si>
  <si>
    <t>23 AL 29 JUNIO 2007</t>
  </si>
  <si>
    <t>30 JUN AL 06 JUL 2007</t>
  </si>
  <si>
    <t>07 AL 13 JULIO 2007</t>
  </si>
  <si>
    <t>14 AL 20 JULIO 2007</t>
  </si>
  <si>
    <t>AÑO 2008</t>
  </si>
  <si>
    <t>29- DIC AL 04- ENE- 2008</t>
  </si>
  <si>
    <t>05 AL 11 ENE 2008</t>
  </si>
  <si>
    <t>12 AL 18 ENE 2008</t>
  </si>
  <si>
    <t>19 AL 25 ENE 2008</t>
  </si>
  <si>
    <t>26 ENE AL 01 FEB 2008</t>
  </si>
  <si>
    <t>02 AL 08 FEB 2008</t>
  </si>
  <si>
    <t>09 AL 15 FEB 2008</t>
  </si>
  <si>
    <t>16 AL 22 FEB 2008</t>
  </si>
  <si>
    <t>23 FEB AL 29 FEB 2008</t>
  </si>
  <si>
    <t>01 AL 07 MAR 2008</t>
  </si>
  <si>
    <t>08 AL 14 MAR 2008</t>
  </si>
  <si>
    <t>15 AL 21 MAR 2008</t>
  </si>
  <si>
    <t>22 AL 28 MAR 2008</t>
  </si>
  <si>
    <t>29 MAR AL 04 ABR 2008</t>
  </si>
  <si>
    <t>05 AL 11 ABRIL 2008</t>
  </si>
  <si>
    <t>12 AL 18 ABRIL 2008</t>
  </si>
  <si>
    <t>19 AL 25 ABRIL 2008</t>
  </si>
  <si>
    <t>26 ABR AL 02 MAY 2008</t>
  </si>
  <si>
    <t>03 AL 09 MAYO 2008</t>
  </si>
  <si>
    <t>10 AL 16 MAYO 2008</t>
  </si>
  <si>
    <t>17 AL 23 MAYO 2008</t>
  </si>
  <si>
    <t>24 MAY AL 30 MAY 2008</t>
  </si>
  <si>
    <t>21 AL 27 JULIO 2007</t>
  </si>
  <si>
    <t>28 JUL AL 03 AGO 2007</t>
  </si>
  <si>
    <t>04 AL 10 AGO 2007</t>
  </si>
  <si>
    <t>11 AL 17 AGO 2007</t>
  </si>
  <si>
    <t>18 AL 24 AGO 2007</t>
  </si>
  <si>
    <t>25 AGO AL 31 AGO 2007</t>
  </si>
  <si>
    <t>01 AL 07 SEPT 2007</t>
  </si>
  <si>
    <t>08 AL 14 SEPT 2007</t>
  </si>
  <si>
    <t>15 AL 21 SEPT 2007</t>
  </si>
  <si>
    <t>22 AL 28 SEPT 2007</t>
  </si>
  <si>
    <t>29 SEPT AL 05 OCT 2007</t>
  </si>
  <si>
    <t>06 AL 12 OCT 2007</t>
  </si>
  <si>
    <t>13 AL 19 OCT 2007</t>
  </si>
  <si>
    <t>20 AL 26 OCT 2007</t>
  </si>
  <si>
    <t>27 OCT AL 02 NOV 2007</t>
  </si>
  <si>
    <t>03 AL 09 NOV 2007</t>
  </si>
  <si>
    <t>10 AL 16 NOV 2007</t>
  </si>
  <si>
    <t>17 AL 23 NOV 2007</t>
  </si>
  <si>
    <t>24 NOV AL 30 NOV 2007</t>
  </si>
  <si>
    <t>01 AL 07 DIC 2007</t>
  </si>
  <si>
    <t>08 AL 14 DIC 2007</t>
  </si>
  <si>
    <t>15 AL 21 DIC 2007</t>
  </si>
  <si>
    <t>22 AL 28 DIC 2007</t>
  </si>
  <si>
    <t>PROMEDIO ANUAL COMBUSTIBLES</t>
  </si>
  <si>
    <t>TIPO DE PRODUCTOS</t>
  </si>
  <si>
    <t>31 AL 06 JUNIO 2008</t>
  </si>
  <si>
    <t>07 AL 13 JUNIO 2008</t>
  </si>
  <si>
    <t>14 AL 20 JUNIO 2008</t>
  </si>
  <si>
    <t>21 AL 27 JUNIO 2008</t>
  </si>
  <si>
    <t>28 JUN AL 04 JUL 2008</t>
  </si>
  <si>
    <t>05 AL 11 JULIO 2008</t>
  </si>
  <si>
    <t>12 AL 18 JULIO 2008</t>
  </si>
  <si>
    <t>19 AL 25 JULIO 2008</t>
  </si>
  <si>
    <t>26 JUL AL 01 AGO 2008</t>
  </si>
  <si>
    <t>02 AL 08 AGO 2008</t>
  </si>
  <si>
    <t>09 AL 15 AGO 2008</t>
  </si>
  <si>
    <t>16 AL 22 AGO 2008</t>
  </si>
  <si>
    <t>23 AGO AL 29 AGO 2008</t>
  </si>
  <si>
    <t>30 AL 05 SEPT 2008</t>
  </si>
  <si>
    <t>06 AL 12 SEPT 2008</t>
  </si>
  <si>
    <t>13 AL 19 SEPT 2008</t>
  </si>
  <si>
    <t>20 AL 26 SEPT 2008</t>
  </si>
  <si>
    <t>27 SEPT AL 03 OCT 2008</t>
  </si>
  <si>
    <t>04 AL 10 OCT 2008</t>
  </si>
  <si>
    <t>11 AL 17 OCT 2008</t>
  </si>
  <si>
    <t>18 AL 24 OCT 2008</t>
  </si>
  <si>
    <t>25 OCT AL 31 OCT 2008</t>
  </si>
  <si>
    <t>01 AL 07 NOV 2008</t>
  </si>
  <si>
    <t>08 AL 14 NOV 2008</t>
  </si>
  <si>
    <t>15 AL 21 NOV 2008</t>
  </si>
  <si>
    <t>24 NOV AL 28 NOV 2008</t>
  </si>
  <si>
    <t>29 AL 05 DIC 2008</t>
  </si>
  <si>
    <t>06 AL 12 DIC 2008</t>
  </si>
  <si>
    <t>13 AL 29 DIC 2008</t>
  </si>
  <si>
    <t>20 AL 26 DIC 2008</t>
  </si>
  <si>
    <t>27 AL 02 DIC 2008</t>
  </si>
  <si>
    <t>MINISTERIO DE INDUSTRIA Y COMERCIO</t>
  </si>
  <si>
    <t>AÑO 2011</t>
  </si>
  <si>
    <t>GASOIL REGULAR EGP-C (NO INTERC)</t>
  </si>
  <si>
    <t>GASOIL REGULAR EGP-T (NO INTERC)</t>
  </si>
  <si>
    <t>GASOIL PREMIUM</t>
  </si>
  <si>
    <t>GASOIL PREMIUM EGP-C</t>
  </si>
  <si>
    <t>GASOIL PREMIUM EGP-T</t>
  </si>
  <si>
    <t xml:space="preserve">FUEL OIL </t>
  </si>
  <si>
    <t>FUEL OIL  EGP-C (INTERC)</t>
  </si>
  <si>
    <t>08 AL 14 ENE 2011</t>
  </si>
  <si>
    <t>15 AL 21 ENE 2011</t>
  </si>
  <si>
    <t>22 AL 28 ENE 2011</t>
  </si>
  <si>
    <t>29 ENE AL 04 FEB 2011</t>
  </si>
  <si>
    <t>05 AL 11 FEB 2011</t>
  </si>
  <si>
    <t>12 AL 18 FEB 2011</t>
  </si>
  <si>
    <t>19 AL 25 FEB 2011</t>
  </si>
  <si>
    <t>26 FEB AL 04 MARZ0 2011</t>
  </si>
  <si>
    <t>05 AL 11 MARZO 2011</t>
  </si>
  <si>
    <t>12 AL 18 MAR 2011</t>
  </si>
  <si>
    <t>19 AL 25 MAR 2011</t>
  </si>
  <si>
    <t>26 MAR AL 01 ABRIL 2011</t>
  </si>
  <si>
    <t>02 AL 08 ABRIL 2011</t>
  </si>
  <si>
    <t>09 AL 15 ABRIL 2011</t>
  </si>
  <si>
    <t>16 AL 22 ABRIL 2011</t>
  </si>
  <si>
    <t>23 ABR AL 29 ABR 2011</t>
  </si>
  <si>
    <t xml:space="preserve"> 30 ABRIL AL 06 MAYO 2011</t>
  </si>
  <si>
    <t>07 AL 13 MAYO 2011</t>
  </si>
  <si>
    <t>14 AL 20 MAYO 2011</t>
  </si>
  <si>
    <t>21 AL 27 MAYO 2011</t>
  </si>
  <si>
    <t>28 MAY AL 03 JUN 2011</t>
  </si>
  <si>
    <t>04 AL 10 JUNIO 2011</t>
  </si>
  <si>
    <t>11 AL 17 JUN 2011</t>
  </si>
  <si>
    <t>18 JUN AL 24 JUNIO 2011</t>
  </si>
  <si>
    <t>25 JUN AL 01 JULIO 2011</t>
  </si>
  <si>
    <t>02 AL 08 JULIO 2011</t>
  </si>
  <si>
    <t>09  AL 15 JUL 2011</t>
  </si>
  <si>
    <t>16 AL 22 JULIO 2011</t>
  </si>
  <si>
    <t>23 AL 29 JULIO 2011</t>
  </si>
  <si>
    <t>30 JUL  AL 05 AGO 2011</t>
  </si>
  <si>
    <t>06  AL 12 AGO 2011</t>
  </si>
  <si>
    <t>13 AL 19 AGOSTO 2011</t>
  </si>
  <si>
    <t>20 AL 26 AGOSTO 2011</t>
  </si>
  <si>
    <t>27 AGO AL 02 SEPT 2011</t>
  </si>
  <si>
    <t>03 AL 09 SEPT 2011</t>
  </si>
  <si>
    <t>10 AL 16 SEPT 2011</t>
  </si>
  <si>
    <t>17 AL 23 SEPT 2011</t>
  </si>
  <si>
    <t>24 AL 30 SEPT 2011</t>
  </si>
  <si>
    <t>01 AL 07 OCT 2011</t>
  </si>
  <si>
    <t>08 OCT AL 14 OCT 2011</t>
  </si>
  <si>
    <t>AÑO 2010</t>
  </si>
  <si>
    <t>02 AL 08 ENE 2010</t>
  </si>
  <si>
    <t>09 AL 15 ENE 2010</t>
  </si>
  <si>
    <t>16 AL 22 ENE 2010</t>
  </si>
  <si>
    <t>23 ENE AL 29 ENE 2010</t>
  </si>
  <si>
    <t>30 AL 05 FEB 2010</t>
  </si>
  <si>
    <t>06 AL 12 FEB 2010</t>
  </si>
  <si>
    <t>13 AL 19 FEB 2010</t>
  </si>
  <si>
    <t>20 FEB AL 26 FEB 2010</t>
  </si>
  <si>
    <t>27 AL 05 MARZO 2010</t>
  </si>
  <si>
    <t>06 AL 12 MAR 2010</t>
  </si>
  <si>
    <t>13 AL 19 MAR 2010</t>
  </si>
  <si>
    <t>20 MAR AL 26 MAR 2010</t>
  </si>
  <si>
    <t>27 AL 02 ABRIL 2010</t>
  </si>
  <si>
    <t>03 AL 09 ABRIL 2010</t>
  </si>
  <si>
    <t>10 AL 16 ABRIL 2010</t>
  </si>
  <si>
    <t>17 ABR AL 23 ABR 2010</t>
  </si>
  <si>
    <t>24 AL 30 ABRIL 2010</t>
  </si>
  <si>
    <t>01 AL 07 MAYO 2010</t>
  </si>
  <si>
    <t>08 AL 14 MAYO 2010</t>
  </si>
  <si>
    <t>15 MAY AL 21 MAY 2010</t>
  </si>
  <si>
    <t>22 AL 28 MAYO 2010</t>
  </si>
  <si>
    <t>29 AL 04 JUNIO 2010</t>
  </si>
  <si>
    <t>05 AL 11 JUNIO 2010</t>
  </si>
  <si>
    <t>12 AL 18 JUNIO 2010</t>
  </si>
  <si>
    <t>19 JUN AL 25 JUN 2010</t>
  </si>
  <si>
    <t>26 AL 02 JULIO 2010</t>
  </si>
  <si>
    <t>03 AL 09 JULIO 2010</t>
  </si>
  <si>
    <t>10 AL 16 JULIO 2010</t>
  </si>
  <si>
    <t>17 JUL AL 23 JUL 2010</t>
  </si>
  <si>
    <t>24 AL 30 JULIO 2010</t>
  </si>
  <si>
    <t>31 AL 06 AGO 2010</t>
  </si>
  <si>
    <t>07 AL 13 AGO 2010</t>
  </si>
  <si>
    <t>14 AGO AL 20 AGO 2010</t>
  </si>
  <si>
    <t>21 AL 27 AGOSTO 2010</t>
  </si>
  <si>
    <t>28 AL 03 SEPT 2010</t>
  </si>
  <si>
    <t>04 AL 10 SEPT 2010</t>
  </si>
  <si>
    <t>11 AL 17 SEPT 2010</t>
  </si>
  <si>
    <t>18 AL 24 SEPT 2010</t>
  </si>
  <si>
    <t>25 AL 01 OCT 2010</t>
  </si>
  <si>
    <t>02 AL 08 OCT 2010</t>
  </si>
  <si>
    <t>09 AL 15 OCT 2010</t>
  </si>
  <si>
    <t>16 OCT AL 22 OCT 2010</t>
  </si>
  <si>
    <t>23 AL 29 NOV 2010</t>
  </si>
  <si>
    <t>30 AL 05 NOV 2010</t>
  </si>
  <si>
    <t>06 AL 12 NOV 2010</t>
  </si>
  <si>
    <t>13 NOV AL 19 NOV 2010</t>
  </si>
  <si>
    <t>20 AL 26 NOV 2010</t>
  </si>
  <si>
    <t>27 NOV  AL 13 DIC 2010</t>
  </si>
  <si>
    <t>04 AL 10 DIC 2010</t>
  </si>
  <si>
    <t>11 AL 17 DIC 2010</t>
  </si>
  <si>
    <t>18 AL 24 DIC 2010</t>
  </si>
  <si>
    <t>25 AL 31 DIC 2010</t>
  </si>
  <si>
    <t xml:space="preserve">MINISTERIO DE INDUSTRIA Y COMERCIO </t>
  </si>
  <si>
    <t>03 DE ENERO DEL 2009 AL 09 DE ENERO DE 2009</t>
  </si>
  <si>
    <t>10 DE ENERO DEL 2009 AL 16 DE ENERO DE 2009</t>
  </si>
  <si>
    <t>17 DE ENERO DEL 2009 AL 23 DE ENERO DE 2009</t>
  </si>
  <si>
    <t>24 DE ENERO DEL 2009 AL 30 DE ENERO DE 2009</t>
  </si>
  <si>
    <t>31 DE ENERO AL 6 DE FEBRERO DE 2009</t>
  </si>
  <si>
    <t>7 AL 13 DE FEBRERO DE 2009</t>
  </si>
  <si>
    <t>14 AL 20 DE FEBRERO DE 2009</t>
  </si>
  <si>
    <t>21 AL 27 DE FEBRERO DE 2009</t>
  </si>
  <si>
    <t>28 DE FEBRERO AL 6 DE MARZO DE 2009</t>
  </si>
  <si>
    <t>7 AL 13 DE MARZO DE 2009</t>
  </si>
  <si>
    <t>14 AL 20 DE MARZO DE 2009</t>
  </si>
  <si>
    <t>21 AL 27 DE MARZO DE 2009</t>
  </si>
  <si>
    <t>28 DE MARZO AL 3 DE ABRIL  DE 2009</t>
  </si>
  <si>
    <t>4 AL 10 DE ABRIL  DE 2009</t>
  </si>
  <si>
    <t>11 AL 17 DE ABRIL  DE 2009</t>
  </si>
  <si>
    <t>18 AL 24 DE ABRIL  DE 2009</t>
  </si>
  <si>
    <t>25 DE ABRIL AL 1 DE MAYO  DE 2009</t>
  </si>
  <si>
    <t>2  AL 8 DE MAYO  DE 2009</t>
  </si>
  <si>
    <t>9  AL 15 DE MAYO  DE 2009</t>
  </si>
  <si>
    <t>16  AL 22 DE MAYO  DE 2009</t>
  </si>
  <si>
    <t>23  AL 29 DE MAYO  DE 2009</t>
  </si>
  <si>
    <t>30 DE MAYO AL 5 DE JUNIO  DE 2009</t>
  </si>
  <si>
    <t>6 AL 12 DE JUNIO  DE 2009</t>
  </si>
  <si>
    <t>13 AL 19 DE JUNIO  DE 2009</t>
  </si>
  <si>
    <t>20 AL 26 DE JUNIO  DE 2009</t>
  </si>
  <si>
    <t>27 DE JUNIO AL 3 DE JULIO DE 2009</t>
  </si>
  <si>
    <t>4 AL 10 DE JULIO DE 2009</t>
  </si>
  <si>
    <t>11 AL 17 DE JULIO DE 2009</t>
  </si>
  <si>
    <t>18 AL 24 DE JULIO DE 2009</t>
  </si>
  <si>
    <t>25 AL 31 DE JULIO DE 2009</t>
  </si>
  <si>
    <t>1 AL 7 DE AGOSTO DE 2009</t>
  </si>
  <si>
    <t>8 AL 14 DE AGOSTO DE 2009</t>
  </si>
  <si>
    <t>15 AL 21 DE AGOSTO DE 2009</t>
  </si>
  <si>
    <t>22 AL 28 DE AGOSTO DE 2009</t>
  </si>
  <si>
    <t>29 DE AGOSTO AL 4 DE SEPTIEMBRE DE 2009</t>
  </si>
  <si>
    <t>5 AL 11 DE SEPTIEMBRE DE 2009</t>
  </si>
  <si>
    <t>12 AL 18 DE SEPTIEMBRE DE 2009</t>
  </si>
  <si>
    <t>19 AL 25 DE SEPTIEMBRE DE 2009</t>
  </si>
  <si>
    <t>26 DE SEPTIEMBRE AL 2 DE OCTUBRE DE 2009</t>
  </si>
  <si>
    <t>3 AL 9 DE OCTUBRE DE 2009</t>
  </si>
  <si>
    <t>10 AL 16 DE OCTUBRE DE 2009</t>
  </si>
  <si>
    <t>17 AL 23 DE OCTUBRE DE 2009</t>
  </si>
  <si>
    <t>24 AL 30 DE OCTUBRE DE 2009</t>
  </si>
  <si>
    <t>31 DE OCTUBRE AL 6 DE NOVIEMBRE DE 2009</t>
  </si>
  <si>
    <t>7 AL 13 DE NOVIEMBRE DE 2009</t>
  </si>
  <si>
    <t>14 AL 20 DE NOVIEMBRE DE 2009</t>
  </si>
  <si>
    <t>21 AL 27 DE NOVIEMBRE DE 2009</t>
  </si>
  <si>
    <t>28 DE NOVIEMBRE AL 4 DE DICIEMBRE DE 2009</t>
  </si>
  <si>
    <t>5 AL 11 DE DICIEMBRE DE 2009</t>
  </si>
  <si>
    <t>12 AL 18 DE DICIEMBRE DE 2009</t>
  </si>
  <si>
    <t>19 AL 25 DE DICIEMBRE DE 2009</t>
  </si>
  <si>
    <t>26 DE DICIEMBRE AL 1 DE ENERO DE 2010</t>
  </si>
  <si>
    <t>AÑO 2009</t>
  </si>
  <si>
    <t>22 AL 28 OCT 2011</t>
  </si>
  <si>
    <t>29 AL 04 NOV 2011</t>
  </si>
  <si>
    <t>05 NOV AL 11 NOV 2011</t>
  </si>
  <si>
    <t>12 AL 18 NOV 2011</t>
  </si>
  <si>
    <t>19 NOV  AL 25 NOV 2011</t>
  </si>
  <si>
    <t>26 AL 02 DIC 2011</t>
  </si>
  <si>
    <t>03 DIC  AL 09 DIC 2011</t>
  </si>
  <si>
    <t>10 AL 16 DIC 2011</t>
  </si>
  <si>
    <t>17 AL 23 DIC 2011</t>
  </si>
  <si>
    <t>AÑO 2012</t>
  </si>
  <si>
    <t>24 AL 30 DIC 2011</t>
  </si>
  <si>
    <t>31 DIC.  AL 06 ENE 2012</t>
  </si>
  <si>
    <t>07 AL 13 ENE 2012</t>
  </si>
  <si>
    <t>14 AL 20 ENE 2012</t>
  </si>
  <si>
    <t>21 AL 27 ENE 2012</t>
  </si>
  <si>
    <t>28 ENE AL 03 FEB 2012</t>
  </si>
  <si>
    <t>04 AL 10 FEB 2012</t>
  </si>
  <si>
    <t>11 AL 17 FEB 2012</t>
  </si>
  <si>
    <t>18 AL 24 FEB 2012</t>
  </si>
  <si>
    <t>25 FEB AL 02 MARZ0 2012</t>
  </si>
  <si>
    <t>03 AL 09 MARZO 2012</t>
  </si>
  <si>
    <t>10 AL 16 MAR 2012</t>
  </si>
  <si>
    <t xml:space="preserve">PROMEDIOS ANUALES - PRECIOS DE LOS COMBUSTIBLES </t>
  </si>
  <si>
    <t>AÑO 2001</t>
  </si>
  <si>
    <t>13 AL 19 ENE 2001</t>
  </si>
  <si>
    <t>20 AL 26 ENE 2001</t>
  </si>
  <si>
    <t>27 ENE AL 02 FEB 2001</t>
  </si>
  <si>
    <t>03 AL 19 FEB 2001</t>
  </si>
  <si>
    <t>10 AL 16 FEB 2001</t>
  </si>
  <si>
    <t>17 AL 23 FEB 2001</t>
  </si>
  <si>
    <t>24 FEB AL 02 MAR 2001</t>
  </si>
  <si>
    <t>03 AL 09 MAR 2001</t>
  </si>
  <si>
    <t>10 AL 16 MAR 2001</t>
  </si>
  <si>
    <t>17 AL 23 MAR 2001</t>
  </si>
  <si>
    <t>24 AL 30 MAR 2001</t>
  </si>
  <si>
    <t>31 MAR AL 06 ABR 2001</t>
  </si>
  <si>
    <t>07 AL 13 ABRIL 2001</t>
  </si>
  <si>
    <t>14 AL 20 ABRIL 2001</t>
  </si>
  <si>
    <t>21 AL 27 ABRIL 2001</t>
  </si>
  <si>
    <t>28 ABR AL 04 MAY 2001</t>
  </si>
  <si>
    <t>05 AL 11 MAYO 2001</t>
  </si>
  <si>
    <t>12 AL 18 MAYO 2001</t>
  </si>
  <si>
    <t>19 AL 25 MAYO 2001</t>
  </si>
  <si>
    <t>26 MAY AL 01 JUN 2001</t>
  </si>
  <si>
    <t>02 AL 08 JUNIO 2001</t>
  </si>
  <si>
    <t>09 AL 15 JUNIO 2001</t>
  </si>
  <si>
    <t>16 AL 22 JUNIO 2001</t>
  </si>
  <si>
    <t>23 JUN AL 29 JUN 2001</t>
  </si>
  <si>
    <t>30 JUN AL 06 JULIO 2001</t>
  </si>
  <si>
    <t>07 AL 13 JULIO 2001</t>
  </si>
  <si>
    <t>14 AL 20 JULIO 2001</t>
  </si>
  <si>
    <t>21 AL 27 JULIO 2001</t>
  </si>
  <si>
    <t>28 JUL AL 03 AGO 2001</t>
  </si>
  <si>
    <t>04 AL 10 AGOSTO 2001</t>
  </si>
  <si>
    <t>11 AL 17 AGOSTO 2001</t>
  </si>
  <si>
    <t>18 AL 24 AGOSTO 2001</t>
  </si>
  <si>
    <t>25 AGO AL 31 AGO 2001</t>
  </si>
  <si>
    <t>01 AL 07 SEPT 2001</t>
  </si>
  <si>
    <t>08 AL 14 SEPT 2001</t>
  </si>
  <si>
    <t>15 AL 21 SEPT 2001</t>
  </si>
  <si>
    <t>22 AL 28 SEPT 2001</t>
  </si>
  <si>
    <t>29 SEPT AL 05 OCT 2001</t>
  </si>
  <si>
    <t>13 AL 19 OCT 2001</t>
  </si>
  <si>
    <t>06 AL 12 OCT 2001</t>
  </si>
  <si>
    <t>20 AL 26 OCT 2001</t>
  </si>
  <si>
    <t>27 OCT AL 02 NOV 2001</t>
  </si>
  <si>
    <t>03 AL 09 NOV 2001</t>
  </si>
  <si>
    <t>10 AL 16 NOV 2001</t>
  </si>
  <si>
    <t>17 AL 23 NOV 2001</t>
  </si>
  <si>
    <t>24 NOV AL 30 DIC 2001</t>
  </si>
  <si>
    <t>01 AL 07 DIC 2001</t>
  </si>
  <si>
    <t>08 AL 14 DIC 2001</t>
  </si>
  <si>
    <t>15 AL 21 DIC 2001</t>
  </si>
  <si>
    <t>22 AL 28 DIC 2001</t>
  </si>
  <si>
    <t>AÑO 2002</t>
  </si>
  <si>
    <t>30 DIC 2000 AL 05 ENE 2001</t>
  </si>
  <si>
    <t>06 AL 12 ENE 2001</t>
  </si>
  <si>
    <t>GASOIL PREMIUN 0.3%</t>
  </si>
  <si>
    <t>GASOIL PREM. EGP-C</t>
  </si>
  <si>
    <t>AVTUR</t>
  </si>
  <si>
    <t>GLP SUB.</t>
  </si>
  <si>
    <t>GLP NO SUB.</t>
  </si>
  <si>
    <t>18-24-MAYO</t>
  </si>
  <si>
    <t>25-31-MAYO</t>
  </si>
  <si>
    <t>1-7-JUNIO</t>
  </si>
  <si>
    <t>8-14-JUNIO</t>
  </si>
  <si>
    <t>15-21-JUNIO</t>
  </si>
  <si>
    <t>22-28-JUNIO</t>
  </si>
  <si>
    <t>29-JUN-5-JUL</t>
  </si>
  <si>
    <t>6-12-JUL</t>
  </si>
  <si>
    <t>13-19-JUL</t>
  </si>
  <si>
    <t>20-26-JUL</t>
  </si>
  <si>
    <t>27-JUL-2-AGO</t>
  </si>
  <si>
    <t>3-9-AGO-02</t>
  </si>
  <si>
    <t>10-16-AGO-02</t>
  </si>
  <si>
    <t>17-23-AGO</t>
  </si>
  <si>
    <t>24-30-AGO</t>
  </si>
  <si>
    <t>31-AGO-6-SEPT</t>
  </si>
  <si>
    <t>7-13-SEPT</t>
  </si>
  <si>
    <t>14-20-SEPT</t>
  </si>
  <si>
    <t>21-27-SEPT</t>
  </si>
  <si>
    <t>28-SEPT-4-OCT.</t>
  </si>
  <si>
    <t>5-11-OCT.</t>
  </si>
  <si>
    <t>12-18-OCT.</t>
  </si>
  <si>
    <t>19-25-OCT.</t>
  </si>
  <si>
    <t>26-OCT-1-NOV.</t>
  </si>
  <si>
    <t>2-8-NOV.</t>
  </si>
  <si>
    <t>9-15-NOV.</t>
  </si>
  <si>
    <t>16-22-NOV.</t>
  </si>
  <si>
    <t>23-29-NOV.</t>
  </si>
  <si>
    <t>30-NOV.-6-DIC</t>
  </si>
  <si>
    <t>7-13-DIC</t>
  </si>
  <si>
    <t>14-20-DIC</t>
  </si>
  <si>
    <t>21-27-DIC.</t>
  </si>
  <si>
    <t>28-DIC.-3-ENE</t>
  </si>
  <si>
    <t>29-DIC.-01 - 4-ENE.</t>
  </si>
  <si>
    <t>5-11-ENE.</t>
  </si>
  <si>
    <t>12-18-ENE.</t>
  </si>
  <si>
    <t>19-25-ENE.</t>
  </si>
  <si>
    <t>26-ENE-1-FEB</t>
  </si>
  <si>
    <t>2-8-FEB</t>
  </si>
  <si>
    <t>9-15-FEB</t>
  </si>
  <si>
    <t>16-22-FEB</t>
  </si>
  <si>
    <t>23-FEB-1-MAR</t>
  </si>
  <si>
    <t>2-8-MAR</t>
  </si>
  <si>
    <t>9-15-MAR</t>
  </si>
  <si>
    <t>16-22-MAR</t>
  </si>
  <si>
    <t>23-29-MAR</t>
  </si>
  <si>
    <t>30-MAR-5-ABRIL</t>
  </si>
  <si>
    <t>6-12-ABRIL</t>
  </si>
  <si>
    <t>13-19-ABRIL</t>
  </si>
  <si>
    <t>20-26-ABRIL</t>
  </si>
  <si>
    <t>27-Abr-3-Mayo</t>
  </si>
  <si>
    <t>4-10-MAYO</t>
  </si>
  <si>
    <t>11-17-MAYO</t>
  </si>
  <si>
    <t>4-10-ENE</t>
  </si>
  <si>
    <t>11-17-ENE</t>
  </si>
  <si>
    <t>18-24-ENE</t>
  </si>
  <si>
    <t>25-31-ENE</t>
  </si>
  <si>
    <t>1-7-FEB.</t>
  </si>
  <si>
    <t>8-14-FEB.</t>
  </si>
  <si>
    <t>15-21-FEB.</t>
  </si>
  <si>
    <t>22-28-FEB.</t>
  </si>
  <si>
    <t>1-7-MARZO</t>
  </si>
  <si>
    <t>8-14-MARZO</t>
  </si>
  <si>
    <t>15-21-MARZO</t>
  </si>
  <si>
    <t>22-28-MARZO</t>
  </si>
  <si>
    <t>29-MARZO-4-ABR</t>
  </si>
  <si>
    <t>5-11-ABRIL</t>
  </si>
  <si>
    <t>12-18-ABRIL</t>
  </si>
  <si>
    <t>19-25-ABRIL</t>
  </si>
  <si>
    <t>26-ABR - 2-MAYO</t>
  </si>
  <si>
    <t>3-9-MAYO-03</t>
  </si>
  <si>
    <t>10-16-MAYO-03</t>
  </si>
  <si>
    <t>17-23-MAYO</t>
  </si>
  <si>
    <t>24-30-MAYO</t>
  </si>
  <si>
    <t>31-MAY-6-JUN</t>
  </si>
  <si>
    <t>7-13-JUNIO</t>
  </si>
  <si>
    <t>14-20-JUNIO</t>
  </si>
  <si>
    <t>21-27-JUNIO</t>
  </si>
  <si>
    <t>28-JUN 4-JULIO</t>
  </si>
  <si>
    <t>5-11-JULIO</t>
  </si>
  <si>
    <t>12-18-JULIO</t>
  </si>
  <si>
    <t>19-25-JULIO</t>
  </si>
  <si>
    <t>26-JUL-1-AGO</t>
  </si>
  <si>
    <t>2-8-AGOSTO</t>
  </si>
  <si>
    <t>9-15-AGOSTO</t>
  </si>
  <si>
    <t>16-22-AGOSTO</t>
  </si>
  <si>
    <t>23-29-AGOSTO</t>
  </si>
  <si>
    <t>30-AGOS-5-SEP</t>
  </si>
  <si>
    <t>6-12-SEP</t>
  </si>
  <si>
    <t>13-19-SEP</t>
  </si>
  <si>
    <t>20-26-SEP</t>
  </si>
  <si>
    <t>27-SEP-3-OCT</t>
  </si>
  <si>
    <t>4-10-OCT</t>
  </si>
  <si>
    <t>11-17-OCT</t>
  </si>
  <si>
    <t>18-24-OCT</t>
  </si>
  <si>
    <t>25-31-OCT</t>
  </si>
  <si>
    <t>1-7-NOV</t>
  </si>
  <si>
    <t>8-14-NOV</t>
  </si>
  <si>
    <t>15-21-NOV</t>
  </si>
  <si>
    <t>22-28-NOV</t>
  </si>
  <si>
    <t>29-NOV-5-DIC</t>
  </si>
  <si>
    <t>6-12-DIC</t>
  </si>
  <si>
    <t>13-19-DIC</t>
  </si>
  <si>
    <t>20-26-DIC</t>
  </si>
  <si>
    <t>4 AL 09 ENE 2004</t>
  </si>
  <si>
    <t>TIPOS DE COMBUSTIBLES REGULADOS EN EL 2003</t>
  </si>
  <si>
    <t>TIPOS DE COMBUSTIBLES REGULADOS EN EL 2002</t>
  </si>
  <si>
    <t>TIPOS DE COMBUSTIBLES REGULADOS EN EL 2001</t>
  </si>
  <si>
    <t>CLASIFICACIONES DE COMBUSTIBLES, SE CONSIDERARON LOS PRECIOS</t>
  </si>
  <si>
    <t>PARA FINES DEL PROMEDIO ANUAL, LAS 52 SEMANAS DE CADA AÑO.</t>
  </si>
  <si>
    <t xml:space="preserve">AL GLP, POR ESTA RAZON SE ORIGINA EL OTRO RENGLON, SOLO COMO GAS LIGUADO </t>
  </si>
  <si>
    <t>DE PETROLEO.</t>
  </si>
  <si>
    <t>NOTAS:</t>
  </si>
  <si>
    <t>09-DIC AL 15 DIC 2000</t>
  </si>
  <si>
    <t>16 DIC AL 22 DIC 2000</t>
  </si>
  <si>
    <t>23 DIC AL 29 DIC 2000</t>
  </si>
  <si>
    <t>1- EN EL AñO 2000. SOLO HAY 3 SEMANAS EJECUTADAS, YA QUE EL INICIO DE LA LEY ES A PARTIR DEL 29 NOVIEMBRE DE 2000.</t>
  </si>
  <si>
    <t xml:space="preserve">SUBSIDIADO Y GLP NO SUBSIDIADO. </t>
  </si>
  <si>
    <t xml:space="preserve">4- TODOS LOS PROMEDIOS DE LOS AÑOS 2004, 05, 06, 07, EN CADA UNA DE SUS </t>
  </si>
  <si>
    <t xml:space="preserve">6- APARTIR DE LA SEMANA DEL 04-10 DE OCT. DE 2008, DESAPARECIO, EL SUBSIDIO </t>
  </si>
  <si>
    <t xml:space="preserve">3- A PARTIR DEL 31 DE MAYO DE 2003, SE IMPLEMENTA UN SUBSIDIO AL GLP, POR LO QUE DA COMO ORIGEN UNA DIVISION DE GLP </t>
  </si>
  <si>
    <t>GLP</t>
  </si>
  <si>
    <t>GASOIL REG. EGP-C (INTERC)</t>
  </si>
  <si>
    <t>GASOIL REG. EGP-T (INTERC)</t>
  </si>
  <si>
    <t>PRECIO PROMEDIO  - 2009</t>
  </si>
  <si>
    <t>GLP - SUB.</t>
  </si>
  <si>
    <t>GLP - NO-SUB.</t>
  </si>
  <si>
    <t>17 AL 23 MAR 2012</t>
  </si>
  <si>
    <t>24 MAR AL 30 MARZO 2012</t>
  </si>
  <si>
    <t>31  MAR AL 01 ABRIL 2012</t>
  </si>
  <si>
    <t>07 AL 13 ABRIL 2012</t>
  </si>
  <si>
    <t>14 AL 20 ABRIL 2012</t>
  </si>
  <si>
    <t>21 ABR AL 27 ABR 2012</t>
  </si>
  <si>
    <t xml:space="preserve"> 28 ABRIL AL 04 MAYO 2012</t>
  </si>
  <si>
    <t>27-DIC.-2-ENE</t>
  </si>
  <si>
    <t>TIPOS DE COMBUSTIBLES REGULADOS EN EL 2000</t>
  </si>
  <si>
    <t>2- PARA EL AÑO 2001, EL GLP SE EMPEZO A PUBLICAR EN LOS AVISOS DE PRECIOS  A PARTIR DEL 20 OCTUBRE DE 2001.</t>
  </si>
  <si>
    <t>05 AL 11 MAYO 2012</t>
  </si>
  <si>
    <t>12 AL 18 MAYO 2012</t>
  </si>
  <si>
    <t>19 AL 25 MAYO 2012</t>
  </si>
  <si>
    <t>26 MAY AL 01 JUN 2012</t>
  </si>
  <si>
    <t>02 AL 08 JUNIO 2012</t>
  </si>
  <si>
    <t>09 AL 15 JUN 2012</t>
  </si>
  <si>
    <t>16 JUN AL 22 JUNIO 2012</t>
  </si>
  <si>
    <t>26 JUN AL 29 JUNIO 2012</t>
  </si>
  <si>
    <t>30 AL 06 JULIO 2012</t>
  </si>
  <si>
    <t>07  AL 13 JUL 2012</t>
  </si>
  <si>
    <t>14 AL 20 JULIO 2012</t>
  </si>
  <si>
    <t>21 AL 27 JULIO 2012</t>
  </si>
  <si>
    <t>28 JUL  AL 03 AGO 2012</t>
  </si>
  <si>
    <t>04  AL 10 AGO 2012</t>
  </si>
  <si>
    <t>11 AL 17 AGOSTO 2012</t>
  </si>
  <si>
    <t>18 AL 24 AGOSTO 2012</t>
  </si>
  <si>
    <t>25 AGO AL 31 AGO 2012</t>
  </si>
  <si>
    <t>5- PARA EL AÑO 2008, ESTAN CONSIDERADAS LOS 53 CORTES DE SEMANAS EJECUTADAS.</t>
  </si>
  <si>
    <t>01 AL 07 SEPT 2012</t>
  </si>
  <si>
    <t>08 AL 14 SEPT 2012</t>
  </si>
  <si>
    <t>15 AL 21 SEPT 2012</t>
  </si>
  <si>
    <t>22 AL 28 SEPT 2012</t>
  </si>
  <si>
    <t>29 Sept  AL 05 OCT 2012</t>
  </si>
  <si>
    <t>06 OCT AL 12 OCT 2012</t>
  </si>
  <si>
    <t>13 AL 19 OCT 2012</t>
  </si>
  <si>
    <t>15 AL 21 OCT 2011</t>
  </si>
  <si>
    <t>20 AL 26 OCT 2012</t>
  </si>
  <si>
    <t>27 DE OCT AL 02 NOV 2012</t>
  </si>
  <si>
    <t>03 NOV AL 09 NOV 2012</t>
  </si>
  <si>
    <t>10 AL 16 NOV 2012</t>
  </si>
  <si>
    <t>17 NOV  AL 23 NOV 2012</t>
  </si>
  <si>
    <t>GASOIL OPTIMO</t>
  </si>
  <si>
    <t>24 AL 30 NOV 2012</t>
  </si>
  <si>
    <t>01 DIC  AL 07 DIC 2012</t>
  </si>
  <si>
    <t>08 AL 14 DIC 2012</t>
  </si>
  <si>
    <t>15 AL 21 DIC 2012</t>
  </si>
  <si>
    <t>22 AL 28 DIC 2012</t>
  </si>
  <si>
    <t>09 DE DIC AL 04 ENE 2013</t>
  </si>
  <si>
    <t>PUBLICADOS AL PUBLICO SEGÚN LOS AVISOS DE PRECIOS SEMANALES (PROMEDIO PRECIOS INTERNOS)</t>
  </si>
  <si>
    <t>PROMEDIO ANUAL DE LOS PRECIOS DE LOS COMBUSTIBLES DEL AÑO 2002 (PRECIOS INTERNOS AL PUBLICO)</t>
  </si>
  <si>
    <t>PROMEDIO ANUAL DE LOS PRECIOS DE LOS COMBUSTIBLES DEL AÑO 2001 (PRECIOS INTERNOS AL PUBLICO)</t>
  </si>
  <si>
    <t>PROMEDIO ANUAL DE LOS PRECIOS DE LOS COMBUSTIBLES DEL AÑO 2003 (PRECIOS INTERNOS AL PUBLICO)</t>
  </si>
  <si>
    <t>PROMEDIO ANUAL DE LOS PRECIOS DE LOS COMBUSTIBLES DEL AÑO 2004 (PRECIOS INTERNOS AL PUBLICO)</t>
  </si>
  <si>
    <t>PROMEDIO ANUAL DE LOS PRECIOS DE LOS COMBUSTIBLES DEL AÑO 2005 (PRECIOS INTERNOS AL PUBLICO)</t>
  </si>
  <si>
    <t>MINISTRO DE INDUSTRIA Y COMERCIO</t>
  </si>
  <si>
    <t>PROMEDIO ANUAL DE LOS PRECIOS DE LOS COMBUSTIBLES DEL AÑO 2006 (PRECIOS INTERNOS AL PUBLICO)</t>
  </si>
  <si>
    <t>PROMEDIO ANUAL DE LOS PRECIOS DE LOS COMBUSTIBLES DEL AÑO 2007 (PRECIOS INTERNOS AL PUBLICO)</t>
  </si>
  <si>
    <t>MINISTRIO DE INDUSTRIA Y COMERCIO</t>
  </si>
  <si>
    <t>PROMEDIO ANUAL DE LOS PRECIOS INTERNOS AL PUBLICO DE LOS COMBUSTIBLES DEL AÑO 2008</t>
  </si>
  <si>
    <t>PROMEDIO ANUAL DE LOS PRECIOS FINALES  DE LOS COMBUSTIBLES  AÑO 2011 - (PRECIOS INTERNOS AL PUBLICO)</t>
  </si>
  <si>
    <t>PROMEDIO ANUAL DE LOS PRECIOS FINALES  DE LOS COMBUSTIBLES  AÑO 2012 - (PRECIOS INTERNOS AL PUBLICO)</t>
  </si>
  <si>
    <t>PROMEDIO ANUAL DE LOS PRECIOS FINALES  DE LOS COMBUSTIBLES  AÑO 2013- (PRECIOS INTERNOS AL PUBLICO)</t>
  </si>
  <si>
    <t>PROMEDIO ANUAL DE LOS PRECIOS FINALES  DE LOS COMBUSTIBLES  AÑO 2014- (PRECIOS INTERNOS AL PUBLICO)</t>
  </si>
  <si>
    <t>AÑO 2014</t>
  </si>
  <si>
    <t>AÑO 2013</t>
  </si>
  <si>
    <t>29 DIC.  AL 04  ENE 2013</t>
  </si>
  <si>
    <t>05 AL 11 ENERO 2013</t>
  </si>
  <si>
    <t xml:space="preserve">12 AL 18 DE ENERO de 2013 </t>
  </si>
  <si>
    <t>26 ENE AL 01 FEB 2013</t>
  </si>
  <si>
    <t>02 AL  08 DE FEBRERO 2013</t>
  </si>
  <si>
    <t>09 AL 15  DE  FEBRERO  2013</t>
  </si>
  <si>
    <t>19 AL 25 ENERO 2013</t>
  </si>
  <si>
    <t>16 AL 22 FEBRERO 2013</t>
  </si>
  <si>
    <t>106,,07</t>
  </si>
  <si>
    <t>23 FEBRERO  AL 01 MARZ0 2013</t>
  </si>
  <si>
    <t>02 AL 08 MARZO 2013</t>
  </si>
  <si>
    <t>09 AL 15 MARZO 2013</t>
  </si>
  <si>
    <t>16 AL 22 MARZO 2013</t>
  </si>
  <si>
    <t>23  AL 29 MARZO 2013</t>
  </si>
  <si>
    <t>30 DE MARZ AL 5 DE ABRIL  2013</t>
  </si>
  <si>
    <t>06 AL 12 ABRIL 2013</t>
  </si>
  <si>
    <t>13 AL 19 ABRIL 2013</t>
  </si>
  <si>
    <t>20 ABR AL 26 ABR 2013</t>
  </si>
  <si>
    <t xml:space="preserve"> 27 ABRIL AL 03 MAYO 2013</t>
  </si>
  <si>
    <t>04 AL 10  MAYO 2013</t>
  </si>
  <si>
    <t>11 AL 17 MAYO 2013</t>
  </si>
  <si>
    <t>18 AL 24 MAYO 2013</t>
  </si>
  <si>
    <t>25 AL 31 DE MAYO 2013</t>
  </si>
  <si>
    <t>01 AL 07 JUNIO 2013</t>
  </si>
  <si>
    <t>08 AL 14 JUNIO 2013</t>
  </si>
  <si>
    <t>15 JUN AL 21 JUNIO 2013</t>
  </si>
  <si>
    <t>22 JUN AL 28 JUNIO 2013</t>
  </si>
  <si>
    <t>29  de JUNIO AL 05  JULIO 2013</t>
  </si>
  <si>
    <t>06  AL 12 JULIO 2013</t>
  </si>
  <si>
    <t>13 AL 19 JULIO 2013</t>
  </si>
  <si>
    <t>20 AL 26 JULIO 2013</t>
  </si>
  <si>
    <t>27 JUL  AL 02 AGO 2013</t>
  </si>
  <si>
    <t>03  AL 09 AGO 2013</t>
  </si>
  <si>
    <t>10 AL 16 AGOSTO 2013</t>
  </si>
  <si>
    <t>17 AL 23 AGOSTO 2013</t>
  </si>
  <si>
    <t>24 AGO AL 30 AGO 2013</t>
  </si>
  <si>
    <t>31  DE AGOSTO AL 06 SEPT 2013</t>
  </si>
  <si>
    <t>07 AL 13 SEPT 2013</t>
  </si>
  <si>
    <t>14 AL 20 SEPT 2013</t>
  </si>
  <si>
    <t>21 AL 27  SEPT 2013</t>
  </si>
  <si>
    <t>28 SEPT  AL 04 OCT 2013</t>
  </si>
  <si>
    <t>05 OCT AL 11 OCT 2013</t>
  </si>
  <si>
    <t>12 AL 18 OCT 2013</t>
  </si>
  <si>
    <t>19 AL 25 OCT 2013</t>
  </si>
  <si>
    <t>26 DE OCT AL 01 NOV 2013</t>
  </si>
  <si>
    <t>02 NOV AL 08 NOV 2013</t>
  </si>
  <si>
    <t>09 AL 15 NOV 2013</t>
  </si>
  <si>
    <t>16 NOV  AL 23 NOV 2013</t>
  </si>
  <si>
    <t>23 AL 29 NOV 2013</t>
  </si>
  <si>
    <t>30  NOV AL 06 DIC 2013</t>
  </si>
  <si>
    <t>07 AL 13 DIC 2013</t>
  </si>
  <si>
    <t>14 AL 20 DIC 2013</t>
  </si>
  <si>
    <t>21 AL 27 DIC 2013</t>
  </si>
  <si>
    <t>28  DE DIC AL 03 ENE 2013</t>
  </si>
  <si>
    <t>143,,15</t>
  </si>
  <si>
    <t xml:space="preserve"> </t>
  </si>
  <si>
    <t>28 DIC.  AL 03  ENE 2014</t>
  </si>
  <si>
    <t>04 AL 10 ENE 2014</t>
  </si>
  <si>
    <t>11 AL 17 ENE 2014</t>
  </si>
  <si>
    <t>18 AL 24 ENE 2014</t>
  </si>
  <si>
    <t>25 Al 31 DE ENE 2014</t>
  </si>
  <si>
    <t>01 AL 07 FEB 2014</t>
  </si>
  <si>
    <t>8 AL 14 FEB 2014</t>
  </si>
  <si>
    <t>15 AL 21 FEB 2014</t>
  </si>
  <si>
    <t>22 FEB AL 28  2014</t>
  </si>
  <si>
    <t>01 AL 07 DE MARZO 2014</t>
  </si>
  <si>
    <t>08 AL 14 DE MARZO 2014</t>
  </si>
  <si>
    <t>15  AL 21 MARZO 2014</t>
  </si>
  <si>
    <t>22 MAR AL 28 MARZO 2014</t>
  </si>
  <si>
    <t>29 MARZO AL 04 ABRIL 2014</t>
  </si>
  <si>
    <t>12   AL 18 ABRIL 2014</t>
  </si>
  <si>
    <t>05 AL 11 ABRIL 2014</t>
  </si>
  <si>
    <t>19  ABR AL 25  2014</t>
  </si>
  <si>
    <t xml:space="preserve"> 26 ABRIL AL 02 MAYO 2014</t>
  </si>
  <si>
    <t>03 AL 09 DE MAYO 2014</t>
  </si>
  <si>
    <t>10 AL 16  MAYO 2014</t>
  </si>
  <si>
    <t>17 AL 23 DE MAYO  2014</t>
  </si>
  <si>
    <t>174,,31</t>
  </si>
  <si>
    <t>24 MAY AL 30  2014</t>
  </si>
  <si>
    <t>31 AL 06 DE JUNIO 2014</t>
  </si>
  <si>
    <t>07 AL 13 JUN 2014</t>
  </si>
  <si>
    <t>14 AL 20 JUNIO 2014</t>
  </si>
  <si>
    <t>21 JUN AL 27 JUNIO 2014</t>
  </si>
  <si>
    <t>28 DE JUNIO AL 04 JULIO 2014</t>
  </si>
  <si>
    <t>05  AL 11 JUL 2014</t>
  </si>
  <si>
    <t>12 AL 18 JULIO 2014</t>
  </si>
  <si>
    <t>19 AL 25 JULIO 2014</t>
  </si>
  <si>
    <t>26 JUL  AL 01 AGO 2014</t>
  </si>
  <si>
    <t>02  AL 08 AGO 2014</t>
  </si>
  <si>
    <t>09 AL 15  AGOSTO 2014</t>
  </si>
  <si>
    <t>16 AL 22 AGOSTO 2014</t>
  </si>
  <si>
    <t>23 AGO AL 29 AGO 2014</t>
  </si>
  <si>
    <t>30 AFOST AL 05  SEPT 2014</t>
  </si>
  <si>
    <t>06 AL 12 SEPT 2014</t>
  </si>
  <si>
    <t>13 AL 19 SEPT 2014</t>
  </si>
  <si>
    <t>20 AL 26 SEPT 2014</t>
  </si>
  <si>
    <t>27SEP  AL 03 OCT 2014</t>
  </si>
  <si>
    <t>98,,75</t>
  </si>
  <si>
    <t>04 OCT AL 10 OCT 2014</t>
  </si>
  <si>
    <t>11 AL 17 OCT 2014</t>
  </si>
  <si>
    <t>18  AL 24  OCT 2014</t>
  </si>
  <si>
    <t>25 AL 31 DE OCT 2014</t>
  </si>
  <si>
    <t>01 AL 07 NOV  2014</t>
  </si>
  <si>
    <t>08 AL 14 NOV 2014</t>
  </si>
  <si>
    <t>15 NOV  AL 21 NOV 2014</t>
  </si>
  <si>
    <t>22 AL 28 NOV  2014</t>
  </si>
  <si>
    <t>29 NOV  AL 05  DIC 2014</t>
  </si>
  <si>
    <t>06 AL 12 DIC 2014</t>
  </si>
  <si>
    <t>13 AL 19  DIC 2014</t>
  </si>
  <si>
    <t>20 AL 26 DIC 2014</t>
  </si>
  <si>
    <t>27 DE DIC AL 02 ENE 2014</t>
  </si>
  <si>
    <t>AÑO 2015</t>
  </si>
  <si>
    <t>03 DIC.  AL 09  ENE 2015</t>
  </si>
  <si>
    <t>10 Al 16 ENE 2015</t>
  </si>
  <si>
    <t>17 AL 23 ENE 2015</t>
  </si>
  <si>
    <t>24  AL 30 ENE 2015</t>
  </si>
  <si>
    <t>31 Al 06 DE ENE 2015</t>
  </si>
  <si>
    <t>07 AL 13 FEB 2015</t>
  </si>
  <si>
    <t>14 AL 20 FEB 2015</t>
  </si>
  <si>
    <t>21 al 27  FEB 2015</t>
  </si>
  <si>
    <t>28 FEB AL  06  2015</t>
  </si>
  <si>
    <t>07 AL 13 DE MARZO 2015</t>
  </si>
  <si>
    <t>14 AL 20 DE MARZO 2015</t>
  </si>
  <si>
    <t>21  AL 27  MARZO 2015</t>
  </si>
  <si>
    <t xml:space="preserve"> 11 al 17 ABRIL 2015</t>
  </si>
  <si>
    <t>18  AL 24 ABRIL 2015</t>
  </si>
  <si>
    <t>25  ABR AL 01 MAYO  2015</t>
  </si>
  <si>
    <t>09 AL 15 DE MAYO 2015</t>
  </si>
  <si>
    <t>16 al 22  MAYO 2015</t>
  </si>
  <si>
    <t>23 AL 29 DE MAYO  2015</t>
  </si>
  <si>
    <t>30 de MAYO al 5 de JUNIO 2015</t>
  </si>
  <si>
    <t>6 AL 12  DE JUNIO 2015</t>
  </si>
  <si>
    <t>13 Al 19 de Junio AL  2015</t>
  </si>
  <si>
    <t xml:space="preserve">20  AL 26  JUNIO 2015 </t>
  </si>
  <si>
    <t>27 JUN AL 3 JULIO 2015</t>
  </si>
  <si>
    <t>04 al 10 de  JULIO 2015</t>
  </si>
  <si>
    <t>11  AL 17 JULIO 2015</t>
  </si>
  <si>
    <t>18 al 24 de JULIO 2015</t>
  </si>
  <si>
    <t>25 AL 31 JULIO 2015</t>
  </si>
  <si>
    <t>1 AL 7 AGO 2015</t>
  </si>
  <si>
    <t>08  AL 14  AGO 2015</t>
  </si>
  <si>
    <t>15 AL21   AGOSTO 2015</t>
  </si>
  <si>
    <t>22 AL 28 AGOSTO 2015</t>
  </si>
  <si>
    <t>29 AGO AL 4 DE SEP 2015</t>
  </si>
  <si>
    <t>5 AL 11 SEPTIEMBRE 2015</t>
  </si>
  <si>
    <t>12 AL 18 SEPT 2015</t>
  </si>
  <si>
    <t>19 AL 25 SEPT 2015</t>
  </si>
  <si>
    <t>26 AL 2 DE OCTUBRE 2015</t>
  </si>
  <si>
    <t>3 Al 9 DE OCTUBRE 2015</t>
  </si>
  <si>
    <t>10 AL 16 OCTUBRE 2015</t>
  </si>
  <si>
    <t>17 AL 23 OCTUBRE 2015</t>
  </si>
  <si>
    <t>24  AL 30 OCTUBRE 2015</t>
  </si>
  <si>
    <t>PROMEDIO ANUAL DE LOS PRECIOS FINALES  DE LOS COMBUSTIBLES  AÑO 2015- (PRECIOS INTERNOS AL PUBLICO)</t>
  </si>
  <si>
    <t>07 AL 13 NOV 2015</t>
  </si>
  <si>
    <t>14 NOV  AL 20 NOV 2015</t>
  </si>
  <si>
    <t>21 NOV  AL 27 NOV 2015</t>
  </si>
  <si>
    <t>28 NOV  AL 04  DIC 2015</t>
  </si>
  <si>
    <t>05 AL 11 DIC 2015</t>
  </si>
  <si>
    <t>12 AL 18  DIC 2015</t>
  </si>
  <si>
    <t>19 AL 25 DIC 2015</t>
  </si>
  <si>
    <t>26 DE DIC AL 01 ENE 2016</t>
  </si>
  <si>
    <t>Notas:</t>
  </si>
  <si>
    <t>28 MAR AL 3 ABRIL 2015</t>
  </si>
  <si>
    <t>4 AL 10 DE ABRIL 2015</t>
  </si>
  <si>
    <t>02  DE MAYO AL 08 MAYO 2015</t>
  </si>
  <si>
    <t>31  AL 6 DE NOV 2015</t>
  </si>
  <si>
    <t>1- En el Año 2015, hubieron 52 cortes semanales, por esta razon se promedia el precio anual en base a este valor para la mayoria de las categorias o productos de Hidrocarburos regulados según los avisos de precios.</t>
  </si>
  <si>
    <t>2- A partir del 03 de Octubre de 2015, se eliminaron las categorias de productos de las gasoil premiun, incluyendo las de generacion.</t>
  </si>
  <si>
    <t>AÑO 2016</t>
  </si>
  <si>
    <t>PROMEDIO ANUAL DE LOS PRECIOS INTERNOS AL PUBLICO DE LOS COMBUSTIBLES SEMANALES DEL AÑO 2009</t>
  </si>
  <si>
    <t>PROMEDIO ANUAL DE LOS PRECIOS SEMANALES DE LOS COMBUSTIBLES  AÑO 2010 (PRECIOS INTERNOS AL PUBLICO)</t>
  </si>
  <si>
    <t>Nota:</t>
  </si>
  <si>
    <t>1- La Ley 112-00, Ley Tributaria de Hidrocarburos, fue promulgada por el poder Ejecutivo el 29 de Noviembre de 2000,</t>
  </si>
  <si>
    <t>2- La primera semana de corte, que se calculo precios de combustibles para fines de regulacion fue del 09 de Diciembre 2000, al 15 dic. De 2000,</t>
  </si>
  <si>
    <t>PROMEDIO ANUAL DE LOS PRECIOS SEMANALES FINALES  DE LOS COMBUSTIBLES  AÑO 2016- (PRECIOS INTERNOS AL PUBLICO)</t>
  </si>
  <si>
    <t>02 ENE.  AL 08  ENE 2016</t>
  </si>
  <si>
    <t>09 Al 15 ENE 2016</t>
  </si>
  <si>
    <t>16 AL 22 ENE 2016</t>
  </si>
  <si>
    <t>23  AL 29 ENE 2016</t>
  </si>
  <si>
    <t>30 Al 05 DE ENE 2016</t>
  </si>
  <si>
    <t>06 AL 12 FEB 2016</t>
  </si>
  <si>
    <t>13 AL 19 FEB 2016</t>
  </si>
  <si>
    <t>20 al 26  FEB 2016</t>
  </si>
  <si>
    <t>27 FEB AL  04 MARZO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</si>
  <si>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</si>
  <si>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</si>
  <si>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</si>
  <si>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</si>
  <si>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</si>
  <si>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</si>
  <si>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</si>
  <si>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</si>
  <si>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</si>
  <si>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</si>
  <si>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</si>
  <si>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</si>
  <si>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</si>
  <si>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</si>
  <si>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</si>
  <si>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</si>
  <si>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 xml:space="preserve">PERIODOS SEMANALES - AVISOS DE PRECIOS </t>
  </si>
  <si>
    <t>7- EL GASOIL OPTIMO SE EMPEZO A COMERCIALIZAR A PARTIR DEL CORTE DE SEMANA DEL 17-23 DE NOVIEMBRE DE 2012.</t>
  </si>
  <si>
    <t>8- A partir del 03 de Octubre de 2015, se eliminaron las categorias de productos de las gasoil premiun, incluyendo las de generación.</t>
  </si>
  <si>
    <t>PROMEDIO ANUAL DE LOS PRECIOS DE LOS COMBUSTIBLES DEL AÑO 2000 (PRECIOS INTERNOS AL PUBLICO)</t>
  </si>
  <si>
    <t>PROMEDIO GRAL. ANUAL</t>
  </si>
  <si>
    <t>25 JUN AL 1 JULIO 2016</t>
  </si>
  <si>
    <t>09  AL 15 JULIO 2016</t>
  </si>
  <si>
    <t>02 al 08 de 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</si>
  <si>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</si>
  <si>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</si>
  <si>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</si>
  <si>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</si>
  <si>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</si>
  <si>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</si>
  <si>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</si>
  <si>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</si>
  <si>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</si>
  <si>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</si>
  <si>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</si>
  <si>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</si>
  <si>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</si>
  <si>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</si>
  <si>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</si>
  <si>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</si>
  <si>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</si>
  <si>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</si>
  <si>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</si>
  <si>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</si>
  <si>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</si>
  <si>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</si>
  <si>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</si>
  <si>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</si>
  <si>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DIRECCION DE HIDROCARBUROS</t>
  </si>
  <si>
    <t>REALIZADO POR:</t>
  </si>
  <si>
    <t>Licdo. Juan Antonio Chaín H.</t>
  </si>
  <si>
    <t xml:space="preserve">DIRECTOR DE HIDROCARBUROS </t>
  </si>
  <si>
    <t>DIRECTOR DE HIDROCARBUROS</t>
  </si>
  <si>
    <t xml:space="preserve">DIRECCION DE HIDROCARBUROS </t>
  </si>
  <si>
    <t>DIRECCION DE HIDROCABUROS</t>
  </si>
  <si>
    <t>MINISTERIO DE INDUSTRIA, COMERCIO Y MIPYMES</t>
  </si>
  <si>
    <t>04 AL 10 DE MARZO 2017</t>
  </si>
  <si>
    <t>11 AL 17 DE MARZO 2017</t>
  </si>
  <si>
    <t>01 AL 07 DE ABRIL 2017</t>
  </si>
  <si>
    <t>25 AL 31 DE MARZO 2017</t>
  </si>
  <si>
    <t xml:space="preserve"> 08 AL 14 DE ABRIL 2017</t>
  </si>
  <si>
    <t>15 AL 21 DE ABRIL 2017</t>
  </si>
  <si>
    <t>22 AL 28 DE ABRIL  2017</t>
  </si>
  <si>
    <t>28 AL 03 DE FEB 2017</t>
  </si>
  <si>
    <t>07 AL 13 DE ENE 2017</t>
  </si>
  <si>
    <t>14 AL 20 DE ENE 2017</t>
  </si>
  <si>
    <t>04 AL 10 DE FEB 2017</t>
  </si>
  <si>
    <t>11 AL 17 DE FEB 2017</t>
  </si>
  <si>
    <t>18 AL 24  DE MARZO 2017</t>
  </si>
  <si>
    <t>06 AL 12 DE MAYO 2017</t>
  </si>
  <si>
    <t>AÑO 2017</t>
  </si>
  <si>
    <t>13 AL 19 DE MAYO 2017</t>
  </si>
  <si>
    <t>03 AL 09 DE JUNIO 2017</t>
  </si>
  <si>
    <t>10 AL 16 DE JUNIO 2017</t>
  </si>
  <si>
    <t>20 AL 26 DE MAYO 2017</t>
  </si>
  <si>
    <t>27 DE MAYO AL 2 DE JUNIO 2017</t>
  </si>
  <si>
    <t>21 AL 27 DE ENE 2017</t>
  </si>
  <si>
    <t>25 DE FEB AL 03 DE MARZO 2017</t>
  </si>
  <si>
    <t>31 DIC AL 06 DE ENE 2017</t>
  </si>
  <si>
    <t>18 AL 24 DE FEB 2017</t>
  </si>
  <si>
    <t xml:space="preserve">17 AL 23 DE JUNIO 2017 </t>
  </si>
  <si>
    <t>24 AL 30 DE JUNIO 2017</t>
  </si>
  <si>
    <t>PROMEDIO ANUAL DE LOS PRECIOS SEMANALES FINALES DE LOS COMBUSTIBLES AÑO 2017- (PRECIOS INTERNOS AL PUBLICO)</t>
  </si>
  <si>
    <t>01 AL 07 DE JULIO 2017</t>
  </si>
  <si>
    <t>08 AL 14 DE JULIO 2017</t>
  </si>
  <si>
    <t>15 AL 21 DE JULIO 2017</t>
  </si>
  <si>
    <t>22 AL 28 DE JULIO 2017</t>
  </si>
  <si>
    <t>29 AL 05 DE MAYO 2017</t>
  </si>
  <si>
    <t>29 AL 04 DE AGOSTO 2017</t>
  </si>
  <si>
    <t>05 AL 11 DE AGOSTO 2017</t>
  </si>
  <si>
    <t>12 AL 18  DE AGOSTO 2017</t>
  </si>
  <si>
    <t>19 AL 25 DE AGOSTO 2017</t>
  </si>
  <si>
    <t>26 AL AGOSTO AL DE 1 DE SEPT 2017</t>
  </si>
  <si>
    <t>23 AL 29 DE SEPT 2017</t>
  </si>
  <si>
    <t>02 AL 08 DE SEPT 2017</t>
  </si>
  <si>
    <t>09 AL 15 DE SEPT 2017</t>
  </si>
  <si>
    <t>16 AL 22 DE SEPT 2017</t>
  </si>
  <si>
    <t>07 AL 13 DE OCT 2017</t>
  </si>
  <si>
    <t>14 AL 20 DE OCT 2017</t>
  </si>
  <si>
    <t>30 SEPT AL 06 DE OCT 2017</t>
  </si>
  <si>
    <t>21 AL 27 DE OCT 2017</t>
  </si>
  <si>
    <t>04 AL 10 DE NOV 2017</t>
  </si>
  <si>
    <t>11 AL 17 DE NOV 2017</t>
  </si>
  <si>
    <t>18 AL 24 DE NOV 2017</t>
  </si>
  <si>
    <t>25 NOV AL 01 DE DIC 2017</t>
  </si>
  <si>
    <t>28 OCT AL 03 DE NOV 2017</t>
  </si>
  <si>
    <t>02 AL 08 DE DIC 2017</t>
  </si>
  <si>
    <t>09 AL 15 DE DIC 2017</t>
  </si>
  <si>
    <t>16 AL 22 DE DIC 2017</t>
  </si>
  <si>
    <t>23 AL 29 DE DIC 2017</t>
  </si>
  <si>
    <t>AÑO 2018</t>
  </si>
  <si>
    <t>03 AL 09 DE MARZO 2018</t>
  </si>
  <si>
    <t>10 AL 16 DE MARZO 2018</t>
  </si>
  <si>
    <t>07 AL 13 DE OCT 2018</t>
  </si>
  <si>
    <t>14 AL 20 DE OCT 2018</t>
  </si>
  <si>
    <t>21 AL 27 DE OCT 2018</t>
  </si>
  <si>
    <t>28 OCT AL 03 DE NOV 2018</t>
  </si>
  <si>
    <t>04 AL 10 DE NOV 2018</t>
  </si>
  <si>
    <t>11 AL 17 DE NOV 2018</t>
  </si>
  <si>
    <t>18 AL 24 DE NOV 2018</t>
  </si>
  <si>
    <t>25 NOV AL 01 DE DIC 2018</t>
  </si>
  <si>
    <t>02 AL 08 DE DIC 2018</t>
  </si>
  <si>
    <t>09 AL 15 DE DIC 2018</t>
  </si>
  <si>
    <t>16 AL 22 DE DIC 2018</t>
  </si>
  <si>
    <t>23 AL 29 DE DIC 2018</t>
  </si>
  <si>
    <t>PROMEDIO ANUAL DE LOS PRECIOS SEMANALES FINALES DE LOS COMBUSTIBLES AÑO 2018 (PRECIOS INTERNOS AL PUBLICO)</t>
  </si>
  <si>
    <t>17 AL 23  DE MARZO 2018</t>
  </si>
  <si>
    <t>24 AL 30 DE MARZO 2018</t>
  </si>
  <si>
    <t>31 DE MARZO AL 06 DE ABRIL 2018</t>
  </si>
  <si>
    <t>30 DIC AL 05 DE ENERO 2018</t>
  </si>
  <si>
    <t>06 AL 12 DE ENERO 2018</t>
  </si>
  <si>
    <t>13 AL 19 DE ENERO 2018</t>
  </si>
  <si>
    <t>20 AL 26 DE ENERO 2018</t>
  </si>
  <si>
    <t>27 ENE AL 02 DE FEBRERO 2018</t>
  </si>
  <si>
    <t>03 AL 09 DE FEBRERO 2018</t>
  </si>
  <si>
    <t>10 AL 16 DE FEBRERO 2018</t>
  </si>
  <si>
    <t>17 AL 23 DE FEBRERO 2018</t>
  </si>
  <si>
    <t>24 DE FEBRERO AL 02 DE MARZO 2018</t>
  </si>
  <si>
    <t xml:space="preserve"> 07 AL 13 DE ABRIL 2018</t>
  </si>
  <si>
    <t>14 AL 20 DE ABRIL 2018</t>
  </si>
  <si>
    <t>05 AL 11 DE MAYO 2018</t>
  </si>
  <si>
    <t>19 AL 25 DE MAYO 2018</t>
  </si>
  <si>
    <t>21 AL 27 DE ABRIL 2018</t>
  </si>
  <si>
    <t>12 AL 18 DE MAYO 2018</t>
  </si>
  <si>
    <t>28 ABRIL AL 04 DE MAYO 2018</t>
  </si>
  <si>
    <t>DIRECCION DE COMBUSTIBLES</t>
  </si>
  <si>
    <t>NOTA: A LA FECHA SOLO HAY 52 SEMANAS EJECUTADAS DE PRECIOS DE LOS COMBUSTIBLES AL PUBLICO.</t>
  </si>
  <si>
    <t>26 DE MAYO AL 01 DE JUNIO 2018</t>
  </si>
  <si>
    <t>02 AL 08 DE JUNIO 2018</t>
  </si>
  <si>
    <t>16 AL 22 DE JUNIO 2018</t>
  </si>
  <si>
    <t>PROM. DE PROM. 18 AÑOS</t>
  </si>
  <si>
    <t>EXPRESADOS EN RD$</t>
  </si>
  <si>
    <t>09 AL 15 DE JUNIO 2018</t>
  </si>
  <si>
    <t>23 AL 29 DE JUNIO 2018</t>
  </si>
  <si>
    <t>30 DE JUNIO AL 06 DE JULIO 2018</t>
  </si>
  <si>
    <t>07 AL 13 DE JULIO 2018</t>
  </si>
  <si>
    <t>14 AL 20 DE JULIO 2018</t>
  </si>
  <si>
    <t>21 AL 27 DE JULIO 2018</t>
  </si>
  <si>
    <t>28 DE JULIO AL 03 DE AGOSTO 2018</t>
  </si>
  <si>
    <t>04 AL 10 DE AGOSTO 2018</t>
  </si>
  <si>
    <t>11 AL 17 DE AGOSTO 2018</t>
  </si>
  <si>
    <t>18 AL 24 DE AGOSTO 2018</t>
  </si>
  <si>
    <t>25 AL DE 31 DE AGOSTO 2018</t>
  </si>
  <si>
    <t>01 AL 07 DE SEPT 2018</t>
  </si>
  <si>
    <t>08 AL 14 DE SEPT 2018</t>
  </si>
  <si>
    <t>15 AL 21 DE SEPT 2018</t>
  </si>
  <si>
    <t>NOTA: A LA FECHA SOLO HAY 38 SEMANAS EJECUTADAS DE PRECIOS DE LOS COMBUSTIBLES AL PUBLICO.</t>
  </si>
  <si>
    <t>22 AL 28 DE SEPT 2018</t>
  </si>
  <si>
    <t>29 SEPT AL 05 DE OCT 2018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</si>
</sst>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00"/>
    <numFmt numFmtId="187" formatCode="0.0"/>
    <numFmt numFmtId="188" formatCode="0.000000"/>
    <numFmt numFmtId="189" formatCode="0.00000"/>
    <numFmt numFmtId="190" formatCode="0.0000"/>
    <numFmt numFmtId="191" formatCode="0.0000000"/>
    <numFmt numFmtId="192" formatCode="[$-1C0A]dddd\,\ dd&quot; de &quot;mmmm&quot; de &quot;yyyy"/>
    <numFmt numFmtId="193" formatCode="0.00_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1C0A]dddd\,\ d\ &quot;de&quot;\ mmmm\ &quot;de&quot;\ yyyy"/>
    <numFmt numFmtId="203" formatCode="[$-1C0A]h:mm:ss\ AM/PM"/>
    <numFmt numFmtId="204" formatCode="[$-C0A]dddd\,\ dd&quot; de &quot;mmmm&quot; de &quot;yyyy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sz val="14"/>
      <color indexed="16"/>
      <name val="Arial"/>
      <family val="2"/>
    </font>
    <font>
      <sz val="8"/>
      <color indexed="8"/>
      <name val="Arial"/>
      <family val="0"/>
    </font>
    <font>
      <sz val="6.25"/>
      <color indexed="8"/>
      <name val="Arial"/>
      <family val="0"/>
    </font>
    <font>
      <b/>
      <sz val="8"/>
      <color indexed="8"/>
      <name val="Arial"/>
      <family val="0"/>
    </font>
    <font>
      <b/>
      <sz val="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3"/>
      <name val="Arial"/>
      <family val="2"/>
    </font>
    <font>
      <b/>
      <i/>
      <u val="single"/>
      <sz val="10"/>
      <color theme="3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Verdana"/>
      <family val="2"/>
    </font>
    <font>
      <b/>
      <sz val="14"/>
      <color theme="5"/>
      <name val="Arial"/>
      <family val="2"/>
    </font>
    <font>
      <b/>
      <sz val="12"/>
      <color theme="5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2" fontId="5" fillId="34" borderId="19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3" fontId="0" fillId="0" borderId="11" xfId="0" applyNumberFormat="1" applyFont="1" applyBorder="1" applyAlignment="1" applyProtection="1">
      <alignment/>
      <protection/>
    </xf>
    <xf numFmtId="193" fontId="0" fillId="0" borderId="20" xfId="0" applyNumberFormat="1" applyFont="1" applyBorder="1" applyAlignment="1" applyProtection="1">
      <alignment/>
      <protection/>
    </xf>
    <xf numFmtId="193" fontId="0" fillId="0" borderId="12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>
      <alignment/>
    </xf>
    <xf numFmtId="193" fontId="0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93" fontId="0" fillId="0" borderId="22" xfId="0" applyNumberFormat="1" applyFont="1" applyBorder="1" applyAlignment="1" applyProtection="1">
      <alignment/>
      <protection/>
    </xf>
    <xf numFmtId="193" fontId="0" fillId="0" borderId="21" xfId="0" applyNumberFormat="1" applyFont="1" applyFill="1" applyBorder="1" applyAlignment="1" applyProtection="1">
      <alignment/>
      <protection/>
    </xf>
    <xf numFmtId="193" fontId="0" fillId="0" borderId="2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2" fontId="0" fillId="0" borderId="15" xfId="0" applyNumberFormat="1" applyFont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66" fillId="36" borderId="11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0" fontId="67" fillId="36" borderId="11" xfId="0" applyFont="1" applyFill="1" applyBorder="1" applyAlignment="1">
      <alignment horizontal="center" vertical="top" wrapText="1"/>
    </xf>
    <xf numFmtId="0" fontId="67" fillId="37" borderId="12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horizontal="center" vertical="top" wrapText="1"/>
    </xf>
    <xf numFmtId="2" fontId="66" fillId="36" borderId="13" xfId="0" applyNumberFormat="1" applyFont="1" applyFill="1" applyBorder="1" applyAlignment="1">
      <alignment horizontal="center" vertical="top" wrapText="1"/>
    </xf>
    <xf numFmtId="2" fontId="66" fillId="36" borderId="14" xfId="0" applyNumberFormat="1" applyFont="1" applyFill="1" applyBorder="1" applyAlignment="1">
      <alignment horizontal="center" vertical="top" wrapText="1"/>
    </xf>
    <xf numFmtId="2" fontId="66" fillId="37" borderId="15" xfId="0" applyNumberFormat="1" applyFont="1" applyFill="1" applyBorder="1" applyAlignment="1">
      <alignment horizontal="center" vertical="top" wrapText="1"/>
    </xf>
    <xf numFmtId="2" fontId="66" fillId="36" borderId="16" xfId="0" applyNumberFormat="1" applyFont="1" applyFill="1" applyBorder="1" applyAlignment="1">
      <alignment horizontal="center" vertical="top" wrapText="1"/>
    </xf>
    <xf numFmtId="2" fontId="66" fillId="36" borderId="18" xfId="0" applyNumberFormat="1" applyFont="1" applyFill="1" applyBorder="1" applyAlignment="1">
      <alignment horizontal="center" vertical="top" wrapText="1"/>
    </xf>
    <xf numFmtId="2" fontId="66" fillId="37" borderId="12" xfId="0" applyNumberFormat="1" applyFont="1" applyFill="1" applyBorder="1" applyAlignment="1">
      <alignment horizontal="center" vertical="top" wrapText="1"/>
    </xf>
    <xf numFmtId="2" fontId="66" fillId="36" borderId="17" xfId="0" applyNumberFormat="1" applyFont="1" applyFill="1" applyBorder="1" applyAlignment="1">
      <alignment horizontal="center" vertical="top" wrapText="1"/>
    </xf>
    <xf numFmtId="4" fontId="66" fillId="36" borderId="0" xfId="0" applyNumberFormat="1" applyFont="1" applyFill="1" applyBorder="1" applyAlignment="1">
      <alignment horizontal="center" wrapText="1"/>
    </xf>
    <xf numFmtId="4" fontId="66" fillId="37" borderId="0" xfId="0" applyNumberFormat="1" applyFont="1" applyFill="1" applyBorder="1" applyAlignment="1">
      <alignment horizontal="center" wrapText="1"/>
    </xf>
    <xf numFmtId="4" fontId="66" fillId="36" borderId="14" xfId="0" applyNumberFormat="1" applyFont="1" applyFill="1" applyBorder="1" applyAlignment="1">
      <alignment horizontal="center" wrapText="1"/>
    </xf>
    <xf numFmtId="4" fontId="66" fillId="36" borderId="18" xfId="0" applyNumberFormat="1" applyFont="1" applyFill="1" applyBorder="1" applyAlignment="1">
      <alignment horizontal="center" wrapText="1"/>
    </xf>
    <xf numFmtId="4" fontId="66" fillId="36" borderId="11" xfId="0" applyNumberFormat="1" applyFont="1" applyFill="1" applyBorder="1" applyAlignment="1">
      <alignment horizontal="center" wrapText="1"/>
    </xf>
    <xf numFmtId="4" fontId="66" fillId="37" borderId="12" xfId="0" applyNumberFormat="1" applyFont="1" applyFill="1" applyBorder="1" applyAlignment="1">
      <alignment horizontal="center" wrapText="1"/>
    </xf>
    <xf numFmtId="4" fontId="66" fillId="36" borderId="12" xfId="0" applyNumberFormat="1" applyFont="1" applyFill="1" applyBorder="1" applyAlignment="1">
      <alignment horizontal="center" wrapText="1"/>
    </xf>
    <xf numFmtId="4" fontId="66" fillId="36" borderId="17" xfId="0" applyNumberFormat="1" applyFont="1" applyFill="1" applyBorder="1" applyAlignment="1">
      <alignment horizontal="center" wrapText="1"/>
    </xf>
    <xf numFmtId="2" fontId="5" fillId="38" borderId="23" xfId="0" applyNumberFormat="1" applyFont="1" applyFill="1" applyBorder="1" applyAlignment="1">
      <alignment horizontal="center"/>
    </xf>
    <xf numFmtId="2" fontId="5" fillId="38" borderId="19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7" fillId="36" borderId="13" xfId="0" applyFont="1" applyFill="1" applyBorder="1" applyAlignment="1">
      <alignment horizontal="center" vertical="top" wrapText="1"/>
    </xf>
    <xf numFmtId="0" fontId="67" fillId="37" borderId="15" xfId="0" applyFont="1" applyFill="1" applyBorder="1" applyAlignment="1">
      <alignment horizontal="center" vertical="top" wrapText="1"/>
    </xf>
    <xf numFmtId="0" fontId="67" fillId="36" borderId="15" xfId="0" applyFont="1" applyFill="1" applyBorder="1" applyAlignment="1">
      <alignment horizontal="center" vertical="top" wrapText="1"/>
    </xf>
    <xf numFmtId="0" fontId="67" fillId="36" borderId="1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" fontId="66" fillId="37" borderId="17" xfId="0" applyNumberFormat="1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Alignment="1">
      <alignment/>
    </xf>
    <xf numFmtId="193" fontId="5" fillId="38" borderId="23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4" fontId="70" fillId="36" borderId="14" xfId="0" applyNumberFormat="1" applyFont="1" applyFill="1" applyBorder="1" applyAlignment="1">
      <alignment horizontal="center" wrapText="1"/>
    </xf>
    <xf numFmtId="4" fontId="70" fillId="36" borderId="11" xfId="0" applyNumberFormat="1" applyFont="1" applyFill="1" applyBorder="1" applyAlignment="1">
      <alignment horizontal="center" wrapText="1"/>
    </xf>
    <xf numFmtId="4" fontId="70" fillId="36" borderId="20" xfId="0" applyNumberFormat="1" applyFont="1" applyFill="1" applyBorder="1" applyAlignment="1">
      <alignment horizontal="center" wrapText="1"/>
    </xf>
    <xf numFmtId="4" fontId="70" fillId="37" borderId="0" xfId="0" applyNumberFormat="1" applyFont="1" applyFill="1" applyBorder="1" applyAlignment="1">
      <alignment horizontal="center" wrapText="1"/>
    </xf>
    <xf numFmtId="4" fontId="70" fillId="37" borderId="12" xfId="0" applyNumberFormat="1" applyFont="1" applyFill="1" applyBorder="1" applyAlignment="1">
      <alignment horizontal="center" wrapText="1"/>
    </xf>
    <xf numFmtId="4" fontId="70" fillId="37" borderId="21" xfId="0" applyNumberFormat="1" applyFont="1" applyFill="1" applyBorder="1" applyAlignment="1">
      <alignment horizontal="center" wrapText="1"/>
    </xf>
    <xf numFmtId="4" fontId="70" fillId="36" borderId="0" xfId="0" applyNumberFormat="1" applyFont="1" applyFill="1" applyBorder="1" applyAlignment="1">
      <alignment horizontal="center" wrapText="1"/>
    </xf>
    <xf numFmtId="4" fontId="70" fillId="36" borderId="12" xfId="0" applyNumberFormat="1" applyFont="1" applyFill="1" applyBorder="1" applyAlignment="1">
      <alignment horizontal="center" wrapText="1"/>
    </xf>
    <xf numFmtId="4" fontId="70" fillId="36" borderId="21" xfId="0" applyNumberFormat="1" applyFont="1" applyFill="1" applyBorder="1" applyAlignment="1">
      <alignment horizontal="center" wrapText="1"/>
    </xf>
    <xf numFmtId="4" fontId="70" fillId="36" borderId="18" xfId="0" applyNumberFormat="1" applyFont="1" applyFill="1" applyBorder="1" applyAlignment="1">
      <alignment horizontal="center" wrapText="1"/>
    </xf>
    <xf numFmtId="4" fontId="70" fillId="36" borderId="17" xfId="0" applyNumberFormat="1" applyFont="1" applyFill="1" applyBorder="1" applyAlignment="1">
      <alignment horizontal="center" wrapText="1"/>
    </xf>
    <xf numFmtId="4" fontId="70" fillId="36" borderId="22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71" fillId="36" borderId="11" xfId="0" applyFont="1" applyFill="1" applyBorder="1" applyAlignment="1">
      <alignment horizontal="center" wrapText="1"/>
    </xf>
    <xf numFmtId="0" fontId="71" fillId="37" borderId="12" xfId="0" applyFont="1" applyFill="1" applyBorder="1" applyAlignment="1">
      <alignment horizontal="center" wrapText="1"/>
    </xf>
    <xf numFmtId="0" fontId="71" fillId="36" borderId="12" xfId="0" applyFont="1" applyFill="1" applyBorder="1" applyAlignment="1">
      <alignment horizontal="center" wrapText="1"/>
    </xf>
    <xf numFmtId="0" fontId="71" fillId="36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4" fontId="5" fillId="38" borderId="19" xfId="0" applyNumberFormat="1" applyFont="1" applyFill="1" applyBorder="1" applyAlignment="1">
      <alignment horizontal="center"/>
    </xf>
    <xf numFmtId="4" fontId="9" fillId="35" borderId="23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2" fontId="5" fillId="39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2" fontId="5" fillId="40" borderId="19" xfId="0" applyNumberFormat="1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wrapText="1"/>
    </xf>
    <xf numFmtId="4" fontId="4" fillId="4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7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" fillId="40" borderId="24" xfId="0" applyFont="1" applyFill="1" applyBorder="1" applyAlignment="1">
      <alignment horizontal="center"/>
    </xf>
    <xf numFmtId="0" fontId="5" fillId="40" borderId="25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9"/>
          <c:w val="0.969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'Prom.Precio Anual Combts 2005'!$C$6</c:f>
              <c:strCache>
                <c:ptCount val="1"/>
                <c:pt idx="0">
                  <c:v>GASOLINA PREMIUN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2005'!$C$7:$C$59</c:f>
              <c:numCache/>
            </c:numRef>
          </c:val>
          <c:smooth val="0"/>
        </c:ser>
        <c:ser>
          <c:idx val="1"/>
          <c:order val="1"/>
          <c:tx>
            <c:strRef>
              <c:f>'Prom.Precio Anual Combts 2005'!$D$6</c:f>
              <c:strCache>
                <c:ptCount val="1"/>
                <c:pt idx="0">
                  <c:v>GASOLINA REGULAR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2005'!$D$7:$D$59</c:f>
              <c:numCache/>
            </c:numRef>
          </c:val>
          <c:smooth val="0"/>
        </c:ser>
        <c:ser>
          <c:idx val="2"/>
          <c:order val="2"/>
          <c:tx>
            <c:strRef>
              <c:f>'Prom.Precio Anual Combts 2005'!$E$6</c:f>
              <c:strCache>
                <c:ptCount val="1"/>
                <c:pt idx="0">
                  <c:v>GASOIL REGULAR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2005'!$E$7:$E$59</c:f>
              <c:numCache/>
            </c:numRef>
          </c:val>
          <c:smooth val="0"/>
        </c:ser>
        <c:ser>
          <c:idx val="3"/>
          <c:order val="3"/>
          <c:tx>
            <c:strRef>
              <c:f>'Prom.Precio Anual Combts 2005'!$F$6</c:f>
              <c:strCache>
                <c:ptCount val="1"/>
                <c:pt idx="0">
                  <c:v>GASOIL REGULAR EGP-C (NO-INTERC)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2005'!$F$7:$F$59</c:f>
              <c:numCache/>
            </c:numRef>
          </c:val>
          <c:smooth val="0"/>
        </c:ser>
        <c:ser>
          <c:idx val="4"/>
          <c:order val="4"/>
          <c:tx>
            <c:strRef>
              <c:f>'Prom.Precio Anual Combts 2005'!$G$6</c:f>
              <c:strCache>
                <c:ptCount val="1"/>
                <c:pt idx="0">
                  <c:v>GASOIL REGULAR EGP-T (NO-INTERC)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2005'!$G$7:$G$59</c:f>
              <c:numCache/>
            </c:numRef>
          </c:val>
          <c:smooth val="0"/>
        </c:ser>
        <c:ser>
          <c:idx val="5"/>
          <c:order val="5"/>
          <c:tx>
            <c:strRef>
              <c:f>'Prom.Precio Anual Combts 2005'!$H$6</c:f>
              <c:strCache>
                <c:ptCount val="1"/>
                <c:pt idx="0">
                  <c:v>GASOIL REGULAR EGP-C (INTERC)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2005'!$H$7:$H$59</c:f>
              <c:numCache/>
            </c:numRef>
          </c:val>
          <c:smooth val="0"/>
        </c:ser>
        <c:ser>
          <c:idx val="6"/>
          <c:order val="6"/>
          <c:tx>
            <c:strRef>
              <c:f>'Prom.Precio Anual Combts 2005'!$I$6</c:f>
              <c:strCache>
                <c:ptCount val="1"/>
                <c:pt idx="0">
                  <c:v>GASOIL REGULAR EGP-T (INTERC)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2005'!$I$7:$I$59</c:f>
              <c:numCache/>
            </c:numRef>
          </c:val>
          <c:smooth val="0"/>
        </c:ser>
        <c:ser>
          <c:idx val="7"/>
          <c:order val="7"/>
          <c:tx>
            <c:strRef>
              <c:f>'Prom.Precio Anual Combts 2005'!$J$6</c:f>
              <c:strCache>
                <c:ptCount val="1"/>
                <c:pt idx="0">
                  <c:v>GASOIL PREMIUN 0.3% A.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2005'!$J$7:$J$59</c:f>
              <c:numCache/>
            </c:numRef>
          </c:val>
          <c:smooth val="0"/>
        </c:ser>
        <c:ser>
          <c:idx val="8"/>
          <c:order val="8"/>
          <c:tx>
            <c:strRef>
              <c:f>'Prom.Precio Anual Combts 2005'!$K$6</c:f>
              <c:strCache>
                <c:ptCount val="1"/>
                <c:pt idx="0">
                  <c:v>GASOIL PREMIUN EGP-C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2005'!$K$7:$K$59</c:f>
              <c:numCache/>
            </c:numRef>
          </c:val>
          <c:smooth val="0"/>
        </c:ser>
        <c:ser>
          <c:idx val="9"/>
          <c:order val="9"/>
          <c:tx>
            <c:strRef>
              <c:f>'Prom.Precio Anual Combts 2005'!$L$6</c:f>
              <c:strCache>
                <c:ptCount val="1"/>
                <c:pt idx="0">
                  <c:v>GASOIL PREMIUN EGP-T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2005'!$L$7:$L$59</c:f>
              <c:numCache/>
            </c:numRef>
          </c:val>
          <c:smooth val="0"/>
        </c:ser>
        <c:ser>
          <c:idx val="10"/>
          <c:order val="10"/>
          <c:tx>
            <c:strRef>
              <c:f>'Prom.Precio Anual Combts 2005'!$M$6</c:f>
              <c:strCache>
                <c:ptCount val="1"/>
                <c:pt idx="0">
                  <c:v>AVTUR 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2005'!$M$7:$M$59</c:f>
              <c:numCache/>
            </c:numRef>
          </c:val>
          <c:smooth val="0"/>
        </c:ser>
        <c:ser>
          <c:idx val="11"/>
          <c:order val="11"/>
          <c:tx>
            <c:strRef>
              <c:f>'Prom.Precio Anual Combts 2005'!$N$6</c:f>
              <c:strCache>
                <c:ptCount val="1"/>
                <c:pt idx="0">
                  <c:v>KEROSENE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2005'!$N$7:$N$59</c:f>
              <c:numCache/>
            </c:numRef>
          </c:val>
          <c:smooth val="0"/>
        </c:ser>
        <c:ser>
          <c:idx val="12"/>
          <c:order val="12"/>
          <c:tx>
            <c:strRef>
              <c:f>'Prom.Precio Anual Combts 2005'!$O$6</c:f>
              <c:strCache>
                <c:ptCount val="1"/>
                <c:pt idx="0">
                  <c:v>FUEL OIL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2005'!$O$7:$O$59</c:f>
              <c:numCache/>
            </c:numRef>
          </c:val>
          <c:smooth val="0"/>
        </c:ser>
        <c:ser>
          <c:idx val="13"/>
          <c:order val="13"/>
          <c:tx>
            <c:strRef>
              <c:f>'Prom.Precio Anual Combts 2005'!$P$6</c:f>
              <c:strCache>
                <c:ptCount val="1"/>
                <c:pt idx="0">
                  <c:v>FUEL OIL EGP-C (NO INTERC)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2005'!$P$7:$P$59</c:f>
              <c:numCache/>
            </c:numRef>
          </c:val>
          <c:smooth val="0"/>
        </c:ser>
        <c:ser>
          <c:idx val="14"/>
          <c:order val="14"/>
          <c:tx>
            <c:strRef>
              <c:f>'Prom.Precio Anual Combts 2005'!$Q$6</c:f>
              <c:strCache>
                <c:ptCount val="1"/>
                <c:pt idx="0">
                  <c:v>FUEL OIL EGP-T (NO INTERC)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2005'!$Q$7:$Q$59</c:f>
              <c:numCache/>
            </c:numRef>
          </c:val>
          <c:smooth val="0"/>
        </c:ser>
        <c:ser>
          <c:idx val="15"/>
          <c:order val="15"/>
          <c:tx>
            <c:strRef>
              <c:f>'Prom.Precio Anual Combts 2005'!$R$6</c:f>
              <c:strCache>
                <c:ptCount val="1"/>
                <c:pt idx="0">
                  <c:v>FUEL OIL EGP-C (INTERC)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2005'!$R$7:$R$59</c:f>
              <c:numCache/>
            </c:numRef>
          </c:val>
          <c:smooth val="0"/>
        </c:ser>
        <c:ser>
          <c:idx val="16"/>
          <c:order val="16"/>
          <c:tx>
            <c:strRef>
              <c:f>'Prom.Precio Anual Combts 2005'!$S$6</c:f>
              <c:strCache>
                <c:ptCount val="1"/>
                <c:pt idx="0">
                  <c:v>FUEL OIL EGP-T (INTERC)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2005'!$S$7:$S$59</c:f>
              <c:numCache/>
            </c:numRef>
          </c:val>
          <c:smooth val="0"/>
        </c:ser>
        <c:ser>
          <c:idx val="17"/>
          <c:order val="17"/>
          <c:tx>
            <c:strRef>
              <c:f>'Prom.Precio Anual Combts 2005'!$T$6</c:f>
              <c:strCache>
                <c:ptCount val="1"/>
                <c:pt idx="0">
                  <c:v>GLP - SUB.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2005'!$T$7:$T$59</c:f>
              <c:numCache/>
            </c:numRef>
          </c:val>
          <c:smooth val="0"/>
        </c:ser>
        <c:ser>
          <c:idx val="18"/>
          <c:order val="18"/>
          <c:tx>
            <c:strRef>
              <c:f>'Prom.Precio Anual Combts 2005'!$U$6</c:f>
              <c:strCache>
                <c:ptCount val="1"/>
                <c:pt idx="0">
                  <c:v>GLP - NO-SUB.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2005'!$U$7:$U$59</c:f>
              <c:numCache/>
            </c:numRef>
          </c:val>
          <c:smooth val="0"/>
        </c:ser>
        <c:marker val="1"/>
        <c:axId val="29323502"/>
        <c:axId val="6258492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auto val="1"/>
        <c:lblOffset val="100"/>
        <c:tickLblSkip val="1"/>
        <c:noMultiLvlLbl val="0"/>
      </c:catAx>
      <c:valAx>
        <c:axId val="62584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2475"/>
          <c:w val="0.990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1257300</xdr:colOff>
      <xdr:row>4</xdr:row>
      <xdr:rowOff>85725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1</xdr:col>
      <xdr:colOff>1704975</xdr:colOff>
      <xdr:row>4</xdr:row>
      <xdr:rowOff>152400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1428750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1476375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1609725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1562100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47625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4</xdr:row>
      <xdr:rowOff>133350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1581150</xdr:colOff>
      <xdr:row>2</xdr:row>
      <xdr:rowOff>76200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4</xdr:row>
      <xdr:rowOff>381000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70</xdr:row>
      <xdr:rowOff>66675</xdr:rowOff>
    </xdr:to>
    <xdr:pic>
      <xdr:nvPicPr>
        <xdr:cNvPr id="2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020175"/>
          <a:ext cx="9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1943100</xdr:colOff>
      <xdr:row>2</xdr:row>
      <xdr:rowOff>114300</xdr:rowOff>
    </xdr:to>
    <xdr:pic>
      <xdr:nvPicPr>
        <xdr:cNvPr id="3" name="Picture 2" descr="Resultado de imagen para mi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1209675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1885950</xdr:colOff>
      <xdr:row>5</xdr:row>
      <xdr:rowOff>9525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78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0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9525</xdr:rowOff>
    </xdr:to>
    <xdr:pic>
      <xdr:nvPicPr>
        <xdr:cNvPr id="3" name="Picture 1024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381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95250</xdr:rowOff>
    </xdr:to>
    <xdr:pic>
      <xdr:nvPicPr>
        <xdr:cNvPr id="4" name="Picture 1025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95250</xdr:rowOff>
    </xdr:to>
    <xdr:pic>
      <xdr:nvPicPr>
        <xdr:cNvPr id="5" name="Picture 1026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</xdr:colOff>
      <xdr:row>59</xdr:row>
      <xdr:rowOff>95250</xdr:rowOff>
    </xdr:to>
    <xdr:pic>
      <xdr:nvPicPr>
        <xdr:cNvPr id="6" name="Picture 1027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</xdr:colOff>
      <xdr:row>59</xdr:row>
      <xdr:rowOff>95250</xdr:rowOff>
    </xdr:to>
    <xdr:pic>
      <xdr:nvPicPr>
        <xdr:cNvPr id="7" name="Picture 1028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57150</xdr:colOff>
      <xdr:row>62</xdr:row>
      <xdr:rowOff>9525</xdr:rowOff>
    </xdr:to>
    <xdr:pic>
      <xdr:nvPicPr>
        <xdr:cNvPr id="8" name="Picture 1031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1190625</xdr:colOff>
      <xdr:row>4</xdr:row>
      <xdr:rowOff>19050</xdr:rowOff>
    </xdr:to>
    <xdr:pic>
      <xdr:nvPicPr>
        <xdr:cNvPr id="9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6" name="Picture 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</xdr:row>
      <xdr:rowOff>0</xdr:rowOff>
    </xdr:from>
    <xdr:to>
      <xdr:col>22</xdr:col>
      <xdr:colOff>95250</xdr:colOff>
      <xdr:row>6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335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15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38100</xdr:rowOff>
    </xdr:from>
    <xdr:to>
      <xdr:col>1</xdr:col>
      <xdr:colOff>1304925</xdr:colOff>
      <xdr:row>4</xdr:row>
      <xdr:rowOff>47625</xdr:rowOff>
    </xdr:to>
    <xdr:pic>
      <xdr:nvPicPr>
        <xdr:cNvPr id="3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1390650</xdr:colOff>
      <xdr:row>3</xdr:row>
      <xdr:rowOff>123825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6</xdr:row>
      <xdr:rowOff>47625</xdr:rowOff>
    </xdr:from>
    <xdr:to>
      <xdr:col>49</xdr:col>
      <xdr:colOff>9525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1668125" y="1676400"/>
        <a:ext cx="211931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1371600</xdr:colOff>
      <xdr:row>3</xdr:row>
      <xdr:rowOff>85725</xdr:rowOff>
    </xdr:to>
    <xdr:pic>
      <xdr:nvPicPr>
        <xdr:cNvPr id="2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5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1362075</xdr:colOff>
      <xdr:row>3</xdr:row>
      <xdr:rowOff>114300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1457325</xdr:colOff>
      <xdr:row>3</xdr:row>
      <xdr:rowOff>142875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1485900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sario\AppData\Local\Microsoft\Windows\Temporary%20Internet%20Files\Content.IE5\DUTNQA3V\CALULO%20PROYECTO%20DE%20COMP%20a&#241;os%202004%20-%202005%20-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l 2004 05 06 07 08"/>
      <sheetName val="AÑO 2008"/>
      <sheetName val="GRAFICOS POR TIPOS PRODS P-AÑO"/>
      <sheetName val="Resumen Aums y Dism 2004-05"/>
      <sheetName val="Año 2004"/>
      <sheetName val="Cant Aums y Dism Combusts 2004"/>
      <sheetName val="Año 2005"/>
      <sheetName val="Cant Aums y Dism Año 2005"/>
      <sheetName val="Resumen Aums o Dism 2006-07"/>
      <sheetName val="Año 2006"/>
      <sheetName val="Calc Aums y Dism Precs 06"/>
      <sheetName val="Calc Aums y Dism Precs Ofics 07"/>
      <sheetName val="Año 2007"/>
      <sheetName val="PROYECCION VARIACION 2007"/>
      <sheetName val="COMPARACION COMPORT PRECIOS2007"/>
      <sheetName val="Hoja2"/>
      <sheetName val="Costo PBase AV 27Oct-02Nov2007"/>
      <sheetName val="Hoja4"/>
      <sheetName val="Calc Establ bandas aum y dism"/>
    </sheetNames>
    <sheetDataSet>
      <sheetData sheetId="4">
        <row r="5">
          <cell r="C5" t="str">
            <v>GASOLINA PREMIUN</v>
          </cell>
          <cell r="D5" t="str">
            <v>GASOLINA REGULAR</v>
          </cell>
          <cell r="E5" t="str">
            <v>GASOIL REGULAR</v>
          </cell>
          <cell r="F5" t="str">
            <v>GASOIL REGULAR EGP-C (NO-INTERC)</v>
          </cell>
          <cell r="G5" t="str">
            <v>GASOIL REGULAR EGP-T (NO-INTERC)</v>
          </cell>
          <cell r="H5" t="str">
            <v>GASOIL REGULAR EGP-C (INTERC)</v>
          </cell>
          <cell r="I5" t="str">
            <v>GASOIL REGULAR EGP-T (INTERC)</v>
          </cell>
          <cell r="J5" t="str">
            <v>GASOIL PREMIUN 0.3% A.</v>
          </cell>
          <cell r="K5" t="str">
            <v>GASOIL PREMIUN EGP-C</v>
          </cell>
          <cell r="L5" t="str">
            <v>GASOIL PREMIUN EGP-T</v>
          </cell>
          <cell r="M5" t="str">
            <v>AVTUR </v>
          </cell>
          <cell r="N5" t="str">
            <v>KEROSENE</v>
          </cell>
          <cell r="O5" t="str">
            <v>FUEL OIL</v>
          </cell>
          <cell r="P5" t="str">
            <v>FUEL OIL EGP-C (NO INTERC)</v>
          </cell>
          <cell r="Q5" t="str">
            <v>FUEL OIL EGP-T (NO INTERC)</v>
          </cell>
          <cell r="R5" t="str">
            <v>FUEL OIL EGP-C (INTERC)</v>
          </cell>
          <cell r="S5" t="str">
            <v>FUEL OIL EGP-T (INTERC)</v>
          </cell>
          <cell r="U5" t="str">
            <v>GLP - SUBSIDIADO</v>
          </cell>
          <cell r="V5" t="str">
            <v>GLP - NO-SUBSIDIADO</v>
          </cell>
        </row>
      </sheetData>
      <sheetData sheetId="6">
        <row r="58">
          <cell r="C58">
            <v>112.6115384615385</v>
          </cell>
          <cell r="D58">
            <v>102.0076923076923</v>
          </cell>
          <cell r="E58">
            <v>78.67115384615386</v>
          </cell>
          <cell r="F58">
            <v>71.98324999999998</v>
          </cell>
          <cell r="G58">
            <v>69.73884615384614</v>
          </cell>
          <cell r="H58">
            <v>61.25403846153847</v>
          </cell>
          <cell r="I58">
            <v>59.0098076923077</v>
          </cell>
          <cell r="J58">
            <v>81.77692307692307</v>
          </cell>
          <cell r="K58">
            <v>75.14326923076923</v>
          </cell>
          <cell r="L58">
            <v>72.8994230769231</v>
          </cell>
          <cell r="M58">
            <v>72.13269230769232</v>
          </cell>
          <cell r="N58">
            <v>81.53076923076922</v>
          </cell>
          <cell r="O58">
            <v>47.72865384615386</v>
          </cell>
          <cell r="P58">
            <v>47.32153846153846</v>
          </cell>
          <cell r="Q58">
            <v>45.08115384615384</v>
          </cell>
          <cell r="R58">
            <v>36.5925</v>
          </cell>
          <cell r="S58">
            <v>34.34826923076923</v>
          </cell>
          <cell r="T58">
            <v>30.69384615384616</v>
          </cell>
          <cell r="U58">
            <v>52.32749999999999</v>
          </cell>
        </row>
      </sheetData>
      <sheetData sheetId="9">
        <row r="58">
          <cell r="C58">
            <v>137.01346153846154</v>
          </cell>
          <cell r="D58">
            <v>124.11923076923078</v>
          </cell>
          <cell r="E58">
            <v>97.67403846153849</v>
          </cell>
          <cell r="F58">
            <v>78.28576923076922</v>
          </cell>
          <cell r="G58">
            <v>75.44826923076921</v>
          </cell>
          <cell r="H58">
            <v>68.54365384615386</v>
          </cell>
          <cell r="I58">
            <v>65.70615384615385</v>
          </cell>
          <cell r="J58">
            <v>100.94711538461539</v>
          </cell>
          <cell r="K58">
            <v>91.15403846153848</v>
          </cell>
          <cell r="L58">
            <v>88.3165384615385</v>
          </cell>
          <cell r="M58">
            <v>87.7396153846154</v>
          </cell>
          <cell r="N58">
            <v>101.16346153846156</v>
          </cell>
          <cell r="O58">
            <v>61.537692307692296</v>
          </cell>
          <cell r="P58">
            <v>51.80538461538461</v>
          </cell>
          <cell r="Q58">
            <v>48.967884615384605</v>
          </cell>
          <cell r="R58">
            <v>45.07115384615384</v>
          </cell>
          <cell r="S58">
            <v>42.23365384615384</v>
          </cell>
          <cell r="T58">
            <v>43.34096153846153</v>
          </cell>
          <cell r="U58">
            <v>65.15115384615385</v>
          </cell>
        </row>
      </sheetData>
      <sheetData sheetId="12">
        <row r="58">
          <cell r="C58">
            <v>152.39663461538458</v>
          </cell>
          <cell r="D58">
            <v>141.2953846153846</v>
          </cell>
          <cell r="E58">
            <v>112.8523076923077</v>
          </cell>
          <cell r="F58">
            <v>89.08230769230771</v>
          </cell>
          <cell r="G58">
            <v>86.08269230769231</v>
          </cell>
          <cell r="H58">
            <v>72.85499999999998</v>
          </cell>
          <cell r="I58">
            <v>69.85499999999998</v>
          </cell>
          <cell r="J58">
            <v>116.55115384615381</v>
          </cell>
          <cell r="K58">
            <v>105.60961538461541</v>
          </cell>
          <cell r="L58">
            <v>102.60384615384618</v>
          </cell>
          <cell r="M58">
            <v>96.36500000000001</v>
          </cell>
          <cell r="N58">
            <v>110.41807692307695</v>
          </cell>
          <cell r="O58">
            <v>67.43096153846153</v>
          </cell>
          <cell r="P58">
            <v>54.58403846153845</v>
          </cell>
          <cell r="Q58">
            <v>51.58980769230769</v>
          </cell>
          <cell r="R58">
            <v>47.574615384615385</v>
          </cell>
          <cell r="S58">
            <v>44.613076923076925</v>
          </cell>
          <cell r="T58">
            <v>51.066923076923054</v>
          </cell>
          <cell r="U58">
            <v>72.83788461538461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.00390625" style="0" bestFit="1" customWidth="1"/>
    <col min="2" max="2" width="36.140625" style="0" customWidth="1"/>
    <col min="3" max="4" width="9.00390625" style="0" bestFit="1" customWidth="1"/>
    <col min="5" max="5" width="8.140625" style="0" bestFit="1" customWidth="1"/>
    <col min="6" max="6" width="11.28125" style="0" customWidth="1"/>
    <col min="7" max="7" width="11.421875" style="0" customWidth="1"/>
    <col min="8" max="10" width="7.7109375" style="0" bestFit="1" customWidth="1"/>
    <col min="11" max="11" width="6.7109375" style="0" bestFit="1" customWidth="1"/>
    <col min="12" max="12" width="8.7109375" style="0" bestFit="1" customWidth="1"/>
    <col min="13" max="13" width="5.7109375" style="0" bestFit="1" customWidth="1"/>
    <col min="14" max="14" width="7.421875" style="0" customWidth="1"/>
    <col min="15" max="15" width="9.8515625" style="0" customWidth="1"/>
    <col min="16" max="16" width="4.57421875" style="0" bestFit="1" customWidth="1"/>
  </cols>
  <sheetData>
    <row r="1" spans="1:16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32" t="s">
        <v>922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3:16" ht="12.75">
      <c r="C5" s="133" t="s">
        <v>662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61.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7" ht="12.75">
      <c r="A7" s="1">
        <v>1</v>
      </c>
      <c r="B7" s="42" t="s">
        <v>640</v>
      </c>
      <c r="C7" s="45">
        <v>38.22</v>
      </c>
      <c r="D7" s="40">
        <v>33.44</v>
      </c>
      <c r="E7" s="46">
        <v>24.79</v>
      </c>
      <c r="F7" s="40">
        <v>17.05</v>
      </c>
      <c r="G7" s="40">
        <v>16.37</v>
      </c>
      <c r="H7" s="40">
        <v>26.87</v>
      </c>
      <c r="I7" s="40">
        <v>23.7</v>
      </c>
      <c r="J7" s="40">
        <v>23.02</v>
      </c>
      <c r="K7" s="40">
        <v>22.86</v>
      </c>
      <c r="L7" s="40">
        <v>26.53</v>
      </c>
      <c r="M7" s="40">
        <v>14.64</v>
      </c>
      <c r="N7" s="40">
        <v>9.32</v>
      </c>
      <c r="O7" s="40">
        <v>8.64</v>
      </c>
      <c r="P7" s="40">
        <v>0</v>
      </c>
      <c r="Q7" s="136"/>
    </row>
    <row r="8" spans="1:17" ht="12.75">
      <c r="A8" s="1">
        <v>2</v>
      </c>
      <c r="B8" s="43" t="s">
        <v>641</v>
      </c>
      <c r="C8" s="47">
        <v>38.39</v>
      </c>
      <c r="D8" s="50">
        <v>33.64</v>
      </c>
      <c r="E8" s="41">
        <v>24.16</v>
      </c>
      <c r="F8" s="50">
        <v>16.42</v>
      </c>
      <c r="G8" s="50">
        <v>15.74</v>
      </c>
      <c r="H8" s="50">
        <v>26.24</v>
      </c>
      <c r="I8" s="50">
        <v>23.07</v>
      </c>
      <c r="J8" s="50">
        <v>22.39</v>
      </c>
      <c r="K8" s="50">
        <v>22.01</v>
      </c>
      <c r="L8" s="50">
        <v>25.68</v>
      </c>
      <c r="M8" s="50">
        <v>13.76</v>
      </c>
      <c r="N8" s="50">
        <v>8.44</v>
      </c>
      <c r="O8" s="50">
        <v>7.76</v>
      </c>
      <c r="P8" s="50">
        <v>0</v>
      </c>
      <c r="Q8" s="136"/>
    </row>
    <row r="9" spans="1:17" ht="12.75">
      <c r="A9" s="1">
        <v>3</v>
      </c>
      <c r="B9" s="44" t="s">
        <v>642</v>
      </c>
      <c r="C9" s="48">
        <v>38.75</v>
      </c>
      <c r="D9" s="51">
        <v>34.02</v>
      </c>
      <c r="E9" s="49">
        <v>23.5</v>
      </c>
      <c r="F9" s="51">
        <v>15.77</v>
      </c>
      <c r="G9" s="51">
        <v>15.09</v>
      </c>
      <c r="H9" s="51">
        <v>25.58</v>
      </c>
      <c r="I9" s="51">
        <v>22.42</v>
      </c>
      <c r="J9" s="51">
        <v>21.74</v>
      </c>
      <c r="K9" s="51">
        <v>20.03</v>
      </c>
      <c r="L9" s="51">
        <v>23.7</v>
      </c>
      <c r="M9" s="51">
        <v>13.1</v>
      </c>
      <c r="N9" s="51">
        <v>7.77</v>
      </c>
      <c r="O9" s="51">
        <v>7.09</v>
      </c>
      <c r="P9" s="51">
        <v>0</v>
      </c>
      <c r="Q9" s="136"/>
    </row>
    <row r="10" spans="3:16" ht="13.5" thickBot="1">
      <c r="C10" s="60">
        <f>SUM(C7:C9)/3</f>
        <v>38.45333333333333</v>
      </c>
      <c r="D10" s="60">
        <f aca="true" t="shared" si="0" ref="D10:P10">SUM(D7:D9)/3</f>
        <v>33.699999999999996</v>
      </c>
      <c r="E10" s="60">
        <f t="shared" si="0"/>
        <v>24.150000000000002</v>
      </c>
      <c r="F10" s="60">
        <f t="shared" si="0"/>
        <v>16.41333333333333</v>
      </c>
      <c r="G10" s="60">
        <f t="shared" si="0"/>
        <v>15.733333333333334</v>
      </c>
      <c r="H10" s="60">
        <f t="shared" si="0"/>
        <v>26.23</v>
      </c>
      <c r="I10" s="60">
        <f t="shared" si="0"/>
        <v>23.063333333333333</v>
      </c>
      <c r="J10" s="60">
        <f t="shared" si="0"/>
        <v>22.38333333333333</v>
      </c>
      <c r="K10" s="60">
        <f t="shared" si="0"/>
        <v>21.633333333333336</v>
      </c>
      <c r="L10" s="60">
        <f t="shared" si="0"/>
        <v>25.30333333333333</v>
      </c>
      <c r="M10" s="60">
        <f t="shared" si="0"/>
        <v>13.833333333333334</v>
      </c>
      <c r="N10" s="60">
        <f t="shared" si="0"/>
        <v>8.51</v>
      </c>
      <c r="O10" s="60">
        <f t="shared" si="0"/>
        <v>7.829999999999999</v>
      </c>
      <c r="P10" s="60">
        <f t="shared" si="0"/>
        <v>0</v>
      </c>
    </row>
    <row r="11" ht="13.5" thickTop="1"/>
    <row r="12" ht="12.75">
      <c r="B12" s="101" t="s">
        <v>890</v>
      </c>
    </row>
    <row r="13" ht="12.75">
      <c r="B13" s="100" t="s">
        <v>891</v>
      </c>
    </row>
    <row r="14" ht="12.75">
      <c r="B14" s="100" t="s">
        <v>892</v>
      </c>
    </row>
    <row r="40" ht="12" customHeight="1"/>
  </sheetData>
  <sheetProtection/>
  <mergeCells count="5">
    <mergeCell ref="A1:P1"/>
    <mergeCell ref="A3:P3"/>
    <mergeCell ref="C5:P5"/>
    <mergeCell ref="Q7:Q9"/>
    <mergeCell ref="A2:P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3.00390625" style="0" bestFit="1" customWidth="1"/>
    <col min="2" max="2" width="30.421875" style="0" customWidth="1"/>
    <col min="3" max="3" width="9.00390625" style="0" bestFit="1" customWidth="1"/>
    <col min="4" max="4" width="8.710937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8" width="7.7109375" style="0" customWidth="1"/>
    <col min="9" max="9" width="7.8515625" style="0" customWidth="1"/>
    <col min="10" max="10" width="8.00390625" style="0" customWidth="1"/>
    <col min="11" max="11" width="8.140625" style="0" customWidth="1"/>
    <col min="12" max="12" width="8.7109375" style="0" customWidth="1"/>
    <col min="13" max="13" width="7.140625" style="0" bestFit="1" customWidth="1"/>
    <col min="14" max="14" width="8.7109375" style="0" bestFit="1" customWidth="1"/>
    <col min="15" max="15" width="6.140625" style="0" bestFit="1" customWidth="1"/>
    <col min="16" max="16" width="7.57421875" style="0" customWidth="1"/>
    <col min="17" max="17" width="7.00390625" style="0" customWidth="1"/>
    <col min="18" max="19" width="7.28125" style="0" customWidth="1"/>
    <col min="20" max="20" width="6.140625" style="0" bestFit="1" customWidth="1"/>
    <col min="21" max="21" width="15.00390625" style="0" customWidth="1"/>
  </cols>
  <sheetData>
    <row r="1" spans="1:20" ht="18">
      <c r="A1" s="141" t="s">
        <v>391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15.75">
      <c r="A2" s="142" t="s">
        <v>951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12.75">
      <c r="A3" s="132" t="s">
        <v>888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6" spans="2:20" ht="12.75">
      <c r="B6" s="14" t="s">
        <v>444</v>
      </c>
      <c r="C6" s="138" t="s">
        <v>16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</row>
    <row r="7" spans="1:20" ht="48" customHeight="1">
      <c r="A7" s="24"/>
      <c r="B7" s="15" t="s">
        <v>919</v>
      </c>
      <c r="C7" s="15" t="s">
        <v>0</v>
      </c>
      <c r="D7" s="15" t="s">
        <v>1</v>
      </c>
      <c r="E7" s="15" t="s">
        <v>2</v>
      </c>
      <c r="F7" s="15" t="s">
        <v>291</v>
      </c>
      <c r="G7" s="15" t="s">
        <v>292</v>
      </c>
      <c r="H7" s="15" t="s">
        <v>649</v>
      </c>
      <c r="I7" s="15" t="s">
        <v>650</v>
      </c>
      <c r="J7" s="15" t="s">
        <v>293</v>
      </c>
      <c r="K7" s="15" t="s">
        <v>294</v>
      </c>
      <c r="L7" s="15" t="s">
        <v>295</v>
      </c>
      <c r="M7" s="15" t="s">
        <v>10</v>
      </c>
      <c r="N7" s="15" t="s">
        <v>19</v>
      </c>
      <c r="O7" s="15" t="s">
        <v>296</v>
      </c>
      <c r="P7" s="15" t="s">
        <v>12</v>
      </c>
      <c r="Q7" s="15" t="s">
        <v>13</v>
      </c>
      <c r="R7" s="15" t="s">
        <v>297</v>
      </c>
      <c r="S7" s="15" t="s">
        <v>15</v>
      </c>
      <c r="T7" s="15" t="s">
        <v>75</v>
      </c>
    </row>
    <row r="8" spans="1:20" ht="22.5">
      <c r="A8" s="1">
        <v>1</v>
      </c>
      <c r="B8" s="102" t="s">
        <v>392</v>
      </c>
      <c r="C8" s="25">
        <v>115</v>
      </c>
      <c r="D8" s="25">
        <v>105</v>
      </c>
      <c r="E8" s="25">
        <v>100</v>
      </c>
      <c r="F8" s="25">
        <v>74.95</v>
      </c>
      <c r="G8" s="25">
        <v>71.95</v>
      </c>
      <c r="H8" s="25">
        <v>60.68</v>
      </c>
      <c r="I8" s="26">
        <v>57.68</v>
      </c>
      <c r="J8" s="26">
        <v>107</v>
      </c>
      <c r="K8" s="26">
        <v>93.79</v>
      </c>
      <c r="L8" s="26">
        <v>90.79</v>
      </c>
      <c r="M8" s="26">
        <v>75.04</v>
      </c>
      <c r="N8" s="26">
        <v>94</v>
      </c>
      <c r="O8" s="26">
        <v>56.08</v>
      </c>
      <c r="P8" s="26">
        <v>43.04</v>
      </c>
      <c r="Q8" s="26">
        <v>10.04</v>
      </c>
      <c r="R8" s="26">
        <v>37.6</v>
      </c>
      <c r="S8" s="26">
        <v>34.6</v>
      </c>
      <c r="T8" s="26">
        <v>50</v>
      </c>
    </row>
    <row r="9" spans="1:20" ht="22.5">
      <c r="A9" s="1">
        <f>A8+1</f>
        <v>2</v>
      </c>
      <c r="B9" s="103" t="s">
        <v>393</v>
      </c>
      <c r="C9" s="27">
        <v>115</v>
      </c>
      <c r="D9" s="27">
        <v>105</v>
      </c>
      <c r="E9" s="27">
        <v>100</v>
      </c>
      <c r="F9" s="27">
        <v>74.95</v>
      </c>
      <c r="G9" s="27">
        <v>71.95</v>
      </c>
      <c r="H9" s="27">
        <v>60.68</v>
      </c>
      <c r="I9" s="28">
        <v>57.68</v>
      </c>
      <c r="J9" s="28">
        <v>107</v>
      </c>
      <c r="K9" s="28">
        <v>93.79</v>
      </c>
      <c r="L9" s="28">
        <v>90.79</v>
      </c>
      <c r="M9" s="28">
        <v>75.04</v>
      </c>
      <c r="N9" s="28">
        <v>94</v>
      </c>
      <c r="O9" s="28">
        <v>56.08</v>
      </c>
      <c r="P9" s="28">
        <v>43.04</v>
      </c>
      <c r="Q9" s="28">
        <v>40.04</v>
      </c>
      <c r="R9" s="28">
        <v>37.6</v>
      </c>
      <c r="S9" s="28">
        <v>34.6</v>
      </c>
      <c r="T9" s="28">
        <v>50</v>
      </c>
    </row>
    <row r="10" spans="1:20" ht="22.5">
      <c r="A10" s="1">
        <f aca="true" t="shared" si="0" ref="A10:A58">A9+1</f>
        <v>3</v>
      </c>
      <c r="B10" s="103" t="s">
        <v>394</v>
      </c>
      <c r="C10" s="27">
        <v>122.3</v>
      </c>
      <c r="D10" s="27">
        <v>112.3</v>
      </c>
      <c r="E10" s="27">
        <v>102.1</v>
      </c>
      <c r="F10" s="27">
        <v>77.4</v>
      </c>
      <c r="G10" s="27">
        <v>74.4</v>
      </c>
      <c r="H10" s="27">
        <v>62.79</v>
      </c>
      <c r="I10" s="28">
        <v>59.79</v>
      </c>
      <c r="J10" s="28">
        <v>107.1</v>
      </c>
      <c r="K10" s="28">
        <v>94.23</v>
      </c>
      <c r="L10" s="28">
        <v>91.23</v>
      </c>
      <c r="M10" s="28">
        <v>78.23</v>
      </c>
      <c r="N10" s="28">
        <v>95.3</v>
      </c>
      <c r="O10" s="28">
        <v>61.02</v>
      </c>
      <c r="P10" s="28">
        <v>47.98</v>
      </c>
      <c r="Q10" s="28">
        <v>44.98</v>
      </c>
      <c r="R10" s="28">
        <v>41.86</v>
      </c>
      <c r="S10" s="28">
        <v>38.86</v>
      </c>
      <c r="T10" s="28">
        <v>55.87</v>
      </c>
    </row>
    <row r="11" spans="1:21" ht="22.5">
      <c r="A11" s="1">
        <f t="shared" si="0"/>
        <v>4</v>
      </c>
      <c r="B11" s="103" t="s">
        <v>395</v>
      </c>
      <c r="C11" s="27">
        <v>120.2</v>
      </c>
      <c r="D11" s="27">
        <v>110.3</v>
      </c>
      <c r="E11" s="27">
        <v>100.5</v>
      </c>
      <c r="F11" s="28">
        <v>75.26</v>
      </c>
      <c r="G11" s="28">
        <v>72.26</v>
      </c>
      <c r="H11" s="28">
        <v>60.95</v>
      </c>
      <c r="I11" s="28">
        <v>57.95</v>
      </c>
      <c r="J11" s="28">
        <v>105.9</v>
      </c>
      <c r="K11" s="28">
        <v>92.09</v>
      </c>
      <c r="L11" s="28">
        <v>89.09</v>
      </c>
      <c r="M11" s="28">
        <v>77.38</v>
      </c>
      <c r="N11" s="28">
        <v>93.6</v>
      </c>
      <c r="O11" s="28">
        <v>62.38</v>
      </c>
      <c r="P11" s="28">
        <v>49.33</v>
      </c>
      <c r="Q11" s="28">
        <v>46.33</v>
      </c>
      <c r="R11" s="28">
        <v>43.02</v>
      </c>
      <c r="S11" s="28">
        <v>40.02</v>
      </c>
      <c r="T11" s="28">
        <v>55.12</v>
      </c>
      <c r="U11" s="35"/>
    </row>
    <row r="12" spans="1:20" ht="12.75">
      <c r="A12" s="1">
        <f t="shared" si="0"/>
        <v>5</v>
      </c>
      <c r="B12" s="103" t="s">
        <v>396</v>
      </c>
      <c r="C12" s="27">
        <v>122.6</v>
      </c>
      <c r="D12" s="27">
        <v>112.4</v>
      </c>
      <c r="E12" s="27">
        <v>100</v>
      </c>
      <c r="F12" s="27">
        <v>75.25</v>
      </c>
      <c r="G12" s="27">
        <v>72.26</v>
      </c>
      <c r="H12" s="27">
        <v>60.95</v>
      </c>
      <c r="I12" s="28">
        <v>57.95</v>
      </c>
      <c r="J12" s="28">
        <v>105</v>
      </c>
      <c r="K12" s="28">
        <v>92.09</v>
      </c>
      <c r="L12" s="28">
        <v>89.09</v>
      </c>
      <c r="M12" s="28">
        <v>76.01</v>
      </c>
      <c r="N12" s="28">
        <v>92.1</v>
      </c>
      <c r="O12" s="28">
        <v>64.73</v>
      </c>
      <c r="P12" s="28">
        <v>51.69</v>
      </c>
      <c r="Q12" s="28">
        <v>48.69</v>
      </c>
      <c r="R12" s="28">
        <v>45.06</v>
      </c>
      <c r="S12" s="28">
        <v>42.06</v>
      </c>
      <c r="T12" s="28">
        <v>58.12</v>
      </c>
    </row>
    <row r="13" spans="1:20" ht="12.75">
      <c r="A13" s="1">
        <f t="shared" si="0"/>
        <v>6</v>
      </c>
      <c r="B13" s="103" t="s">
        <v>397</v>
      </c>
      <c r="C13" s="27">
        <v>122.6</v>
      </c>
      <c r="D13" s="27">
        <v>112.4</v>
      </c>
      <c r="E13" s="27">
        <v>100</v>
      </c>
      <c r="F13" s="27">
        <v>75.26</v>
      </c>
      <c r="G13" s="27">
        <v>72.26</v>
      </c>
      <c r="H13" s="27">
        <v>60.95</v>
      </c>
      <c r="I13" s="28">
        <v>57.95</v>
      </c>
      <c r="J13" s="28">
        <v>105</v>
      </c>
      <c r="K13" s="28">
        <v>92.09</v>
      </c>
      <c r="L13" s="28">
        <v>89.09</v>
      </c>
      <c r="M13" s="28">
        <v>75.01</v>
      </c>
      <c r="N13" s="28">
        <v>90.1</v>
      </c>
      <c r="O13" s="28">
        <v>64.01</v>
      </c>
      <c r="P13" s="28">
        <v>51.12</v>
      </c>
      <c r="Q13" s="28">
        <v>48.12</v>
      </c>
      <c r="R13" s="28">
        <v>44.57</v>
      </c>
      <c r="S13" s="28">
        <v>41.57</v>
      </c>
      <c r="T13" s="28">
        <v>56.65</v>
      </c>
    </row>
    <row r="14" spans="1:20" ht="12.75">
      <c r="A14" s="1">
        <f t="shared" si="0"/>
        <v>7</v>
      </c>
      <c r="B14" s="103" t="s">
        <v>398</v>
      </c>
      <c r="C14" s="27">
        <v>122.6</v>
      </c>
      <c r="D14" s="27">
        <v>112.4</v>
      </c>
      <c r="E14" s="27">
        <v>100</v>
      </c>
      <c r="F14" s="27">
        <v>75.26</v>
      </c>
      <c r="G14" s="27">
        <v>72.26</v>
      </c>
      <c r="H14" s="27">
        <v>60.95</v>
      </c>
      <c r="I14" s="28">
        <v>57.95</v>
      </c>
      <c r="J14" s="28">
        <v>105</v>
      </c>
      <c r="K14" s="28">
        <v>92.09</v>
      </c>
      <c r="L14" s="28">
        <v>89.09</v>
      </c>
      <c r="M14" s="28">
        <v>75.01</v>
      </c>
      <c r="N14" s="28">
        <v>90.1</v>
      </c>
      <c r="O14" s="28">
        <v>64.01</v>
      </c>
      <c r="P14" s="28">
        <v>51.12</v>
      </c>
      <c r="Q14" s="28">
        <v>48.12</v>
      </c>
      <c r="R14" s="28">
        <v>44.57</v>
      </c>
      <c r="S14" s="28">
        <v>41.57</v>
      </c>
      <c r="T14" s="28">
        <v>56.65</v>
      </c>
    </row>
    <row r="15" spans="1:20" ht="12.75">
      <c r="A15" s="1">
        <f t="shared" si="0"/>
        <v>8</v>
      </c>
      <c r="B15" s="103" t="s">
        <v>399</v>
      </c>
      <c r="C15" s="27">
        <v>120.2</v>
      </c>
      <c r="D15" s="27">
        <v>110.2</v>
      </c>
      <c r="E15" s="27">
        <v>100</v>
      </c>
      <c r="F15" s="27">
        <v>75.26</v>
      </c>
      <c r="G15" s="27">
        <v>72.26</v>
      </c>
      <c r="H15" s="27">
        <v>60.95</v>
      </c>
      <c r="I15" s="28">
        <v>57.95</v>
      </c>
      <c r="J15" s="28">
        <v>105</v>
      </c>
      <c r="K15" s="28">
        <v>92.09</v>
      </c>
      <c r="L15" s="28">
        <v>89.09</v>
      </c>
      <c r="M15" s="28">
        <v>72.01</v>
      </c>
      <c r="N15" s="28">
        <v>85.1</v>
      </c>
      <c r="O15" s="28">
        <v>62.51</v>
      </c>
      <c r="P15" s="28">
        <v>49.62</v>
      </c>
      <c r="Q15" s="28">
        <v>46.62</v>
      </c>
      <c r="R15" s="28">
        <v>43.27</v>
      </c>
      <c r="S15" s="28">
        <v>40.27</v>
      </c>
      <c r="T15" s="28">
        <v>54.65</v>
      </c>
    </row>
    <row r="16" spans="1:20" ht="22.5">
      <c r="A16" s="1">
        <f t="shared" si="0"/>
        <v>9</v>
      </c>
      <c r="B16" s="103" t="s">
        <v>400</v>
      </c>
      <c r="C16" s="27">
        <v>120.2</v>
      </c>
      <c r="D16" s="27">
        <v>110.2</v>
      </c>
      <c r="E16" s="27">
        <v>98</v>
      </c>
      <c r="F16" s="27">
        <v>73.26</v>
      </c>
      <c r="G16" s="27">
        <v>70.26</v>
      </c>
      <c r="H16" s="27">
        <v>59.22</v>
      </c>
      <c r="I16" s="28">
        <v>56.22</v>
      </c>
      <c r="J16" s="28">
        <v>103</v>
      </c>
      <c r="K16" s="28">
        <v>90.09</v>
      </c>
      <c r="L16" s="28">
        <v>87.09</v>
      </c>
      <c r="M16" s="28">
        <v>70.01</v>
      </c>
      <c r="N16" s="28">
        <v>84.1</v>
      </c>
      <c r="O16" s="28">
        <v>62.22</v>
      </c>
      <c r="P16" s="28">
        <v>49.18</v>
      </c>
      <c r="Q16" s="28">
        <v>46.18</v>
      </c>
      <c r="R16" s="28">
        <v>42.89</v>
      </c>
      <c r="S16" s="28">
        <v>39.89</v>
      </c>
      <c r="T16" s="28">
        <v>53.65</v>
      </c>
    </row>
    <row r="17" spans="1:20" ht="12.75">
      <c r="A17" s="1">
        <f t="shared" si="0"/>
        <v>10</v>
      </c>
      <c r="B17" s="103" t="s">
        <v>401</v>
      </c>
      <c r="C17" s="27">
        <v>123.2</v>
      </c>
      <c r="D17" s="27">
        <v>112.6</v>
      </c>
      <c r="E17" s="27">
        <v>97</v>
      </c>
      <c r="F17" s="27">
        <v>72.26</v>
      </c>
      <c r="G17" s="27">
        <v>69.26</v>
      </c>
      <c r="H17" s="27">
        <v>58.36</v>
      </c>
      <c r="I17" s="28">
        <v>55.36</v>
      </c>
      <c r="J17" s="28">
        <v>102</v>
      </c>
      <c r="K17" s="28">
        <v>89.09</v>
      </c>
      <c r="L17" s="28">
        <v>86.09</v>
      </c>
      <c r="M17" s="28">
        <v>68.45</v>
      </c>
      <c r="N17" s="28">
        <v>83.1</v>
      </c>
      <c r="O17" s="28">
        <v>61.7</v>
      </c>
      <c r="P17" s="28">
        <v>48.65</v>
      </c>
      <c r="Q17" s="28">
        <v>45.65</v>
      </c>
      <c r="R17" s="28">
        <v>42.44</v>
      </c>
      <c r="S17" s="28">
        <v>39.44</v>
      </c>
      <c r="T17" s="28">
        <v>52</v>
      </c>
    </row>
    <row r="18" spans="1:21" ht="12.75">
      <c r="A18" s="1">
        <f t="shared" si="0"/>
        <v>11</v>
      </c>
      <c r="B18" s="103" t="s">
        <v>402</v>
      </c>
      <c r="C18" s="27">
        <v>123.2</v>
      </c>
      <c r="D18" s="27">
        <v>112.6</v>
      </c>
      <c r="E18" s="27">
        <v>96</v>
      </c>
      <c r="F18" s="28">
        <v>71.26</v>
      </c>
      <c r="G18" s="28">
        <v>68.26</v>
      </c>
      <c r="H18" s="28">
        <v>57.5</v>
      </c>
      <c r="I18" s="28">
        <v>54.5</v>
      </c>
      <c r="J18" s="28">
        <v>101</v>
      </c>
      <c r="K18" s="28">
        <v>88.09</v>
      </c>
      <c r="L18" s="28">
        <v>85.09</v>
      </c>
      <c r="M18" s="28">
        <v>67.45</v>
      </c>
      <c r="N18" s="28">
        <v>82.1</v>
      </c>
      <c r="O18" s="28">
        <v>60.7</v>
      </c>
      <c r="P18" s="28">
        <v>47.66</v>
      </c>
      <c r="Q18" s="28">
        <v>44.66</v>
      </c>
      <c r="R18" s="28">
        <v>41.58</v>
      </c>
      <c r="S18" s="28">
        <v>38.58</v>
      </c>
      <c r="T18" s="28">
        <v>51.06</v>
      </c>
      <c r="U18" s="35"/>
    </row>
    <row r="19" spans="1:20" ht="12.75">
      <c r="A19" s="1">
        <f t="shared" si="0"/>
        <v>12</v>
      </c>
      <c r="B19" s="103" t="s">
        <v>403</v>
      </c>
      <c r="C19" s="27">
        <v>123.2</v>
      </c>
      <c r="D19" s="27">
        <v>112.6</v>
      </c>
      <c r="E19" s="27">
        <v>96.5</v>
      </c>
      <c r="F19" s="27">
        <v>71.76</v>
      </c>
      <c r="G19" s="27">
        <v>68.76</v>
      </c>
      <c r="H19" s="27">
        <v>57.93</v>
      </c>
      <c r="I19" s="28">
        <v>54.93</v>
      </c>
      <c r="J19" s="28">
        <v>102</v>
      </c>
      <c r="K19" s="28">
        <v>89.09</v>
      </c>
      <c r="L19" s="28">
        <v>86.09</v>
      </c>
      <c r="M19" s="28">
        <v>69.45</v>
      </c>
      <c r="N19" s="28">
        <v>84.1</v>
      </c>
      <c r="O19" s="28">
        <v>61.2</v>
      </c>
      <c r="P19" s="28">
        <v>48.16</v>
      </c>
      <c r="Q19" s="28">
        <v>45.16</v>
      </c>
      <c r="R19" s="28">
        <v>42.01</v>
      </c>
      <c r="S19" s="28">
        <v>39.01</v>
      </c>
      <c r="T19" s="28">
        <v>51.99</v>
      </c>
    </row>
    <row r="20" spans="1:20" ht="12.75">
      <c r="A20" s="1">
        <f t="shared" si="0"/>
        <v>13</v>
      </c>
      <c r="B20" s="103" t="s">
        <v>404</v>
      </c>
      <c r="C20" s="27">
        <v>128.1</v>
      </c>
      <c r="D20" s="27">
        <v>117.8</v>
      </c>
      <c r="E20" s="27">
        <v>101</v>
      </c>
      <c r="F20" s="27">
        <v>76.26</v>
      </c>
      <c r="G20" s="27">
        <v>73.26</v>
      </c>
      <c r="H20" s="27">
        <v>61.81</v>
      </c>
      <c r="I20" s="28">
        <v>58.81</v>
      </c>
      <c r="J20" s="28">
        <v>106.5</v>
      </c>
      <c r="K20" s="28">
        <v>93.59</v>
      </c>
      <c r="L20" s="28">
        <v>90.59</v>
      </c>
      <c r="M20" s="28">
        <v>77.73</v>
      </c>
      <c r="N20" s="28">
        <v>94.8</v>
      </c>
      <c r="O20" s="28">
        <v>70.2</v>
      </c>
      <c r="P20" s="28">
        <v>57.44</v>
      </c>
      <c r="Q20" s="28">
        <v>54.44</v>
      </c>
      <c r="R20" s="28">
        <v>50.01</v>
      </c>
      <c r="S20" s="28">
        <v>47.01</v>
      </c>
      <c r="T20" s="28">
        <v>56.33</v>
      </c>
    </row>
    <row r="21" spans="1:20" ht="12.75">
      <c r="A21" s="1">
        <f t="shared" si="0"/>
        <v>14</v>
      </c>
      <c r="B21" s="103" t="s">
        <v>405</v>
      </c>
      <c r="C21" s="27">
        <v>128.1</v>
      </c>
      <c r="D21" s="27">
        <v>117.8</v>
      </c>
      <c r="E21" s="27">
        <v>100</v>
      </c>
      <c r="F21" s="27">
        <v>75.26</v>
      </c>
      <c r="G21" s="27">
        <v>72.26</v>
      </c>
      <c r="H21" s="27">
        <v>60.95</v>
      </c>
      <c r="I21" s="28">
        <v>57.95</v>
      </c>
      <c r="J21" s="28">
        <v>105.5</v>
      </c>
      <c r="K21" s="28">
        <v>92.59</v>
      </c>
      <c r="L21" s="28">
        <v>89.59</v>
      </c>
      <c r="M21" s="28">
        <v>75.73</v>
      </c>
      <c r="N21" s="28">
        <v>92.8</v>
      </c>
      <c r="O21" s="28">
        <v>66.2</v>
      </c>
      <c r="P21" s="28">
        <v>52.8</v>
      </c>
      <c r="Q21" s="28">
        <v>49.8</v>
      </c>
      <c r="R21" s="28">
        <v>46.01</v>
      </c>
      <c r="S21" s="28">
        <v>43.01</v>
      </c>
      <c r="T21" s="28">
        <v>54.83</v>
      </c>
    </row>
    <row r="22" spans="1:20" ht="12.75">
      <c r="A22" s="1">
        <f t="shared" si="0"/>
        <v>15</v>
      </c>
      <c r="B22" s="103" t="s">
        <v>406</v>
      </c>
      <c r="C22" s="27">
        <v>128.1</v>
      </c>
      <c r="D22" s="27">
        <v>117.8</v>
      </c>
      <c r="E22" s="27">
        <v>101</v>
      </c>
      <c r="F22" s="27">
        <v>76.26</v>
      </c>
      <c r="G22" s="27">
        <v>73.26</v>
      </c>
      <c r="H22" s="27">
        <v>61.81</v>
      </c>
      <c r="I22" s="28">
        <v>58.81</v>
      </c>
      <c r="J22" s="28">
        <v>106.5</v>
      </c>
      <c r="K22" s="28">
        <v>93.59</v>
      </c>
      <c r="L22" s="28">
        <v>90.59</v>
      </c>
      <c r="M22" s="28">
        <v>76.73</v>
      </c>
      <c r="N22" s="28">
        <v>93.8</v>
      </c>
      <c r="O22" s="28">
        <v>67.69</v>
      </c>
      <c r="P22" s="28">
        <v>54.54</v>
      </c>
      <c r="Q22" s="28">
        <v>51.54</v>
      </c>
      <c r="R22" s="28">
        <v>47.51</v>
      </c>
      <c r="S22" s="28">
        <v>44.51</v>
      </c>
      <c r="T22" s="28">
        <v>54.83</v>
      </c>
    </row>
    <row r="23" spans="1:20" ht="12.75">
      <c r="A23" s="1">
        <f t="shared" si="0"/>
        <v>16</v>
      </c>
      <c r="B23" s="103" t="s">
        <v>407</v>
      </c>
      <c r="C23" s="27">
        <v>128.1</v>
      </c>
      <c r="D23" s="27">
        <v>117.8</v>
      </c>
      <c r="E23" s="27">
        <v>101</v>
      </c>
      <c r="F23" s="27">
        <v>76.26</v>
      </c>
      <c r="G23" s="27">
        <v>73.26</v>
      </c>
      <c r="H23" s="27">
        <v>61.81</v>
      </c>
      <c r="I23" s="28">
        <v>58.81</v>
      </c>
      <c r="J23" s="28">
        <v>106.5</v>
      </c>
      <c r="K23" s="28">
        <v>93.59</v>
      </c>
      <c r="L23" s="28">
        <v>90.59</v>
      </c>
      <c r="M23" s="28">
        <v>76.73</v>
      </c>
      <c r="N23" s="28">
        <v>93.8</v>
      </c>
      <c r="O23" s="28">
        <v>67.69</v>
      </c>
      <c r="P23" s="28">
        <v>54.54</v>
      </c>
      <c r="Q23" s="28">
        <v>51.54</v>
      </c>
      <c r="R23" s="28">
        <v>47.51</v>
      </c>
      <c r="S23" s="28">
        <v>44.51</v>
      </c>
      <c r="T23" s="28">
        <v>54.83</v>
      </c>
    </row>
    <row r="24" spans="1:20" ht="12.75">
      <c r="A24" s="1">
        <f t="shared" si="0"/>
        <v>17</v>
      </c>
      <c r="B24" s="103" t="s">
        <v>408</v>
      </c>
      <c r="C24" s="27">
        <v>128.1</v>
      </c>
      <c r="D24" s="27">
        <v>117.8</v>
      </c>
      <c r="E24" s="27">
        <v>100</v>
      </c>
      <c r="F24" s="27">
        <v>75.26</v>
      </c>
      <c r="G24" s="27">
        <v>72.26</v>
      </c>
      <c r="H24" s="27">
        <v>60.95</v>
      </c>
      <c r="I24" s="28">
        <v>57.95</v>
      </c>
      <c r="J24" s="28">
        <v>105.5</v>
      </c>
      <c r="K24" s="28">
        <v>92.59</v>
      </c>
      <c r="L24" s="28">
        <v>89.59</v>
      </c>
      <c r="M24" s="28">
        <v>75.73</v>
      </c>
      <c r="N24" s="28">
        <v>92.8</v>
      </c>
      <c r="O24" s="28">
        <v>67.48</v>
      </c>
      <c r="P24" s="28">
        <v>54.29</v>
      </c>
      <c r="Q24" s="28">
        <v>51.29</v>
      </c>
      <c r="R24" s="28">
        <v>47.3</v>
      </c>
      <c r="S24" s="28">
        <v>44.3</v>
      </c>
      <c r="T24" s="28">
        <v>53.97</v>
      </c>
    </row>
    <row r="25" spans="1:20" ht="12.75">
      <c r="A25" s="1">
        <f t="shared" si="0"/>
        <v>18</v>
      </c>
      <c r="B25" s="103" t="s">
        <v>409</v>
      </c>
      <c r="C25" s="27">
        <v>128.1</v>
      </c>
      <c r="D25" s="27">
        <v>117.8</v>
      </c>
      <c r="E25" s="27">
        <v>100</v>
      </c>
      <c r="F25" s="27">
        <v>75.26</v>
      </c>
      <c r="G25" s="27">
        <v>72.26</v>
      </c>
      <c r="H25" s="27">
        <v>60.95</v>
      </c>
      <c r="I25" s="28">
        <v>57.95</v>
      </c>
      <c r="J25" s="28">
        <v>105.5</v>
      </c>
      <c r="K25" s="28">
        <v>92.59</v>
      </c>
      <c r="L25" s="28">
        <v>89.59</v>
      </c>
      <c r="M25" s="28">
        <v>75.73</v>
      </c>
      <c r="N25" s="28">
        <v>92.8</v>
      </c>
      <c r="O25" s="28">
        <v>67.48</v>
      </c>
      <c r="P25" s="28">
        <v>54.29</v>
      </c>
      <c r="Q25" s="28">
        <v>51.29</v>
      </c>
      <c r="R25" s="28">
        <v>47.3</v>
      </c>
      <c r="S25" s="28">
        <v>44.3</v>
      </c>
      <c r="T25" s="28">
        <v>53.97</v>
      </c>
    </row>
    <row r="26" spans="1:20" ht="12.75">
      <c r="A26" s="1">
        <f t="shared" si="0"/>
        <v>19</v>
      </c>
      <c r="B26" s="103" t="s">
        <v>410</v>
      </c>
      <c r="C26" s="27">
        <v>132.9</v>
      </c>
      <c r="D26" s="27">
        <v>122.3</v>
      </c>
      <c r="E26" s="27">
        <v>103.8</v>
      </c>
      <c r="F26" s="27">
        <v>79.07</v>
      </c>
      <c r="G26" s="27">
        <v>76.07</v>
      </c>
      <c r="H26" s="27">
        <v>64.23</v>
      </c>
      <c r="I26" s="28">
        <v>61.23</v>
      </c>
      <c r="J26" s="28">
        <v>109.3</v>
      </c>
      <c r="K26" s="28">
        <v>96.4</v>
      </c>
      <c r="L26" s="28">
        <v>93.4</v>
      </c>
      <c r="M26" s="28">
        <v>78.97</v>
      </c>
      <c r="N26" s="28">
        <v>95.8</v>
      </c>
      <c r="O26" s="28">
        <v>74.93</v>
      </c>
      <c r="P26" s="28">
        <v>61.89</v>
      </c>
      <c r="Q26" s="28">
        <v>58.89</v>
      </c>
      <c r="R26" s="28">
        <v>53.85</v>
      </c>
      <c r="S26" s="28">
        <v>50.85</v>
      </c>
      <c r="T26" s="28">
        <v>56.27</v>
      </c>
    </row>
    <row r="27" spans="1:20" ht="12.75">
      <c r="A27" s="1">
        <f t="shared" si="0"/>
        <v>20</v>
      </c>
      <c r="B27" s="103" t="s">
        <v>411</v>
      </c>
      <c r="C27" s="27">
        <v>136.9</v>
      </c>
      <c r="D27" s="27">
        <v>126.3</v>
      </c>
      <c r="E27" s="27">
        <v>105.8</v>
      </c>
      <c r="F27" s="27">
        <v>81.06</v>
      </c>
      <c r="G27" s="27">
        <v>78.06</v>
      </c>
      <c r="H27" s="27">
        <v>65.95</v>
      </c>
      <c r="I27" s="28">
        <v>62.95</v>
      </c>
      <c r="J27" s="28">
        <v>111.3</v>
      </c>
      <c r="K27" s="28">
        <v>98.39</v>
      </c>
      <c r="L27" s="28">
        <v>95.39</v>
      </c>
      <c r="M27" s="28">
        <v>80.97</v>
      </c>
      <c r="N27" s="28">
        <v>97.8</v>
      </c>
      <c r="O27" s="28">
        <v>77.94</v>
      </c>
      <c r="P27" s="28">
        <v>65.37</v>
      </c>
      <c r="Q27" s="28">
        <v>62.37</v>
      </c>
      <c r="R27" s="28">
        <v>56.85</v>
      </c>
      <c r="S27" s="28">
        <v>53.85</v>
      </c>
      <c r="T27" s="28">
        <v>58.27</v>
      </c>
    </row>
    <row r="28" spans="1:20" ht="12.75">
      <c r="A28" s="1">
        <f t="shared" si="0"/>
        <v>21</v>
      </c>
      <c r="B28" s="103" t="s">
        <v>412</v>
      </c>
      <c r="C28" s="27">
        <v>140.9</v>
      </c>
      <c r="D28" s="27">
        <v>130.1</v>
      </c>
      <c r="E28" s="27">
        <v>105.8</v>
      </c>
      <c r="F28" s="27">
        <v>81.06</v>
      </c>
      <c r="G28" s="27">
        <v>78.06</v>
      </c>
      <c r="H28" s="27">
        <v>65.95</v>
      </c>
      <c r="I28" s="28">
        <v>62.95</v>
      </c>
      <c r="J28" s="28">
        <v>111.3</v>
      </c>
      <c r="K28" s="28">
        <v>98.39</v>
      </c>
      <c r="L28" s="28">
        <v>95.39</v>
      </c>
      <c r="M28" s="28">
        <v>80.97</v>
      </c>
      <c r="N28" s="28">
        <v>97.8</v>
      </c>
      <c r="O28" s="28">
        <v>77.94</v>
      </c>
      <c r="P28" s="28">
        <v>65.37</v>
      </c>
      <c r="Q28" s="28">
        <v>62.37</v>
      </c>
      <c r="R28" s="28">
        <v>56.85</v>
      </c>
      <c r="S28" s="28">
        <v>53.85</v>
      </c>
      <c r="T28" s="28">
        <v>57.38</v>
      </c>
    </row>
    <row r="29" spans="1:20" ht="12.75">
      <c r="A29" s="1">
        <f t="shared" si="0"/>
        <v>22</v>
      </c>
      <c r="B29" s="103" t="s">
        <v>413</v>
      </c>
      <c r="C29" s="27">
        <v>140.9</v>
      </c>
      <c r="D29" s="27">
        <v>130.1</v>
      </c>
      <c r="E29" s="27">
        <v>105.8</v>
      </c>
      <c r="F29" s="27">
        <v>81.06</v>
      </c>
      <c r="G29" s="27">
        <v>78.06</v>
      </c>
      <c r="H29" s="27">
        <v>65.95</v>
      </c>
      <c r="I29" s="28">
        <v>62.95</v>
      </c>
      <c r="J29" s="28">
        <v>111.3</v>
      </c>
      <c r="K29" s="28">
        <v>98.39</v>
      </c>
      <c r="L29" s="28">
        <v>95.39</v>
      </c>
      <c r="M29" s="28">
        <v>80.97</v>
      </c>
      <c r="N29" s="28">
        <v>97.8</v>
      </c>
      <c r="O29" s="28">
        <v>77.94</v>
      </c>
      <c r="P29" s="28">
        <v>65.37</v>
      </c>
      <c r="Q29" s="28">
        <v>62.37</v>
      </c>
      <c r="R29" s="28">
        <v>56.85</v>
      </c>
      <c r="S29" s="28">
        <v>53.85</v>
      </c>
      <c r="T29" s="28">
        <v>57.38</v>
      </c>
    </row>
    <row r="30" spans="1:20" ht="12.75">
      <c r="A30" s="1">
        <f t="shared" si="0"/>
        <v>23</v>
      </c>
      <c r="B30" s="103" t="s">
        <v>414</v>
      </c>
      <c r="C30" s="27">
        <v>149.9</v>
      </c>
      <c r="D30" s="27">
        <v>139</v>
      </c>
      <c r="E30" s="27">
        <v>111.8</v>
      </c>
      <c r="F30" s="27">
        <v>87.06</v>
      </c>
      <c r="G30" s="27">
        <v>84.06</v>
      </c>
      <c r="H30" s="27">
        <v>71.12</v>
      </c>
      <c r="I30" s="28">
        <v>68.12</v>
      </c>
      <c r="J30" s="28">
        <v>117.5</v>
      </c>
      <c r="K30" s="28">
        <v>104.39</v>
      </c>
      <c r="L30" s="28">
        <v>101.39</v>
      </c>
      <c r="M30" s="28">
        <v>89.81</v>
      </c>
      <c r="N30" s="28">
        <v>106.4</v>
      </c>
      <c r="O30" s="28">
        <v>82.31</v>
      </c>
      <c r="P30" s="28">
        <v>69.27</v>
      </c>
      <c r="Q30" s="28">
        <v>66.27</v>
      </c>
      <c r="R30" s="28">
        <v>60.21</v>
      </c>
      <c r="S30" s="28">
        <v>57.21</v>
      </c>
      <c r="T30" s="28">
        <v>60.75</v>
      </c>
    </row>
    <row r="31" spans="1:20" ht="12.75">
      <c r="A31" s="1">
        <f t="shared" si="0"/>
        <v>24</v>
      </c>
      <c r="B31" s="103" t="s">
        <v>415</v>
      </c>
      <c r="C31" s="27">
        <v>157.1</v>
      </c>
      <c r="D31" s="27">
        <v>146.5</v>
      </c>
      <c r="E31" s="27">
        <v>116.8</v>
      </c>
      <c r="F31" s="27">
        <v>92.11</v>
      </c>
      <c r="G31" s="27">
        <v>89.11</v>
      </c>
      <c r="H31" s="27">
        <v>75.47</v>
      </c>
      <c r="I31" s="28">
        <v>72.47</v>
      </c>
      <c r="J31" s="28">
        <v>121.8</v>
      </c>
      <c r="K31" s="28">
        <v>108.94</v>
      </c>
      <c r="L31" s="28">
        <v>105.94</v>
      </c>
      <c r="M31" s="28">
        <v>91.78</v>
      </c>
      <c r="N31" s="28">
        <v>108.4</v>
      </c>
      <c r="O31" s="28">
        <v>84.81</v>
      </c>
      <c r="P31" s="28">
        <v>71.77</v>
      </c>
      <c r="Q31" s="28">
        <v>68.77</v>
      </c>
      <c r="R31" s="28">
        <v>62.37</v>
      </c>
      <c r="S31" s="28">
        <v>59.37</v>
      </c>
      <c r="T31" s="28">
        <v>62.54</v>
      </c>
    </row>
    <row r="32" spans="1:20" ht="12.75">
      <c r="A32" s="1">
        <f t="shared" si="0"/>
        <v>25</v>
      </c>
      <c r="B32" s="103" t="s">
        <v>416</v>
      </c>
      <c r="C32" s="27">
        <v>160.2</v>
      </c>
      <c r="D32" s="27">
        <v>149.8</v>
      </c>
      <c r="E32" s="27">
        <v>116.8</v>
      </c>
      <c r="F32" s="27">
        <v>92.11</v>
      </c>
      <c r="G32" s="27">
        <v>89.11</v>
      </c>
      <c r="H32" s="27">
        <v>75.47</v>
      </c>
      <c r="I32" s="28">
        <v>72.47</v>
      </c>
      <c r="J32" s="28">
        <v>121.8</v>
      </c>
      <c r="K32" s="28">
        <v>108.94</v>
      </c>
      <c r="L32" s="28">
        <v>105.94</v>
      </c>
      <c r="M32" s="28">
        <v>94.54</v>
      </c>
      <c r="N32" s="28">
        <v>111.2</v>
      </c>
      <c r="O32" s="28">
        <v>87.77</v>
      </c>
      <c r="P32" s="28">
        <v>74.77</v>
      </c>
      <c r="Q32" s="28">
        <v>71.77</v>
      </c>
      <c r="R32" s="28">
        <v>64.95</v>
      </c>
      <c r="S32" s="28">
        <v>61.95</v>
      </c>
      <c r="T32" s="28">
        <v>62.54</v>
      </c>
    </row>
    <row r="33" spans="1:20" ht="12.75">
      <c r="A33" s="1">
        <f t="shared" si="0"/>
        <v>26</v>
      </c>
      <c r="B33" s="103" t="s">
        <v>417</v>
      </c>
      <c r="C33" s="27">
        <v>153.3</v>
      </c>
      <c r="D33" s="27">
        <v>143.7</v>
      </c>
      <c r="E33" s="27">
        <v>115.8</v>
      </c>
      <c r="F33" s="27">
        <v>91.09</v>
      </c>
      <c r="G33" s="27">
        <v>88.09</v>
      </c>
      <c r="H33" s="27">
        <v>74.59</v>
      </c>
      <c r="I33" s="28">
        <v>71.59</v>
      </c>
      <c r="J33" s="28">
        <v>120.8</v>
      </c>
      <c r="K33" s="28">
        <v>107.92</v>
      </c>
      <c r="L33" s="28">
        <v>104.92</v>
      </c>
      <c r="M33" s="28">
        <v>91.94</v>
      </c>
      <c r="N33" s="28">
        <v>108.5</v>
      </c>
      <c r="O33" s="28">
        <v>84.57</v>
      </c>
      <c r="P33" s="28">
        <v>71.53</v>
      </c>
      <c r="Q33" s="28">
        <v>68.53</v>
      </c>
      <c r="R33" s="28">
        <v>62.16</v>
      </c>
      <c r="S33" s="28">
        <v>59.16</v>
      </c>
      <c r="T33" s="28">
        <v>61.34</v>
      </c>
    </row>
    <row r="34" spans="1:20" ht="12.75">
      <c r="A34" s="1">
        <f t="shared" si="0"/>
        <v>27</v>
      </c>
      <c r="B34" s="103" t="s">
        <v>418</v>
      </c>
      <c r="C34" s="27">
        <v>153.3</v>
      </c>
      <c r="D34" s="27">
        <v>143.7</v>
      </c>
      <c r="E34" s="27">
        <v>115.8</v>
      </c>
      <c r="F34" s="27">
        <v>91.09</v>
      </c>
      <c r="G34" s="27">
        <v>88.09</v>
      </c>
      <c r="H34" s="27">
        <v>74.59</v>
      </c>
      <c r="I34" s="28">
        <v>71.59</v>
      </c>
      <c r="J34" s="28">
        <v>120.8</v>
      </c>
      <c r="K34" s="28">
        <v>107.92</v>
      </c>
      <c r="L34" s="28">
        <v>104.92</v>
      </c>
      <c r="M34" s="28">
        <v>91.94</v>
      </c>
      <c r="N34" s="28">
        <v>108.5</v>
      </c>
      <c r="O34" s="28">
        <v>84.57</v>
      </c>
      <c r="P34" s="28">
        <v>71.53</v>
      </c>
      <c r="Q34" s="28">
        <v>68.53</v>
      </c>
      <c r="R34" s="28">
        <v>62.16</v>
      </c>
      <c r="S34" s="28">
        <v>59.16</v>
      </c>
      <c r="T34" s="28">
        <v>61.34</v>
      </c>
    </row>
    <row r="35" spans="1:20" ht="12.75">
      <c r="A35" s="1">
        <f t="shared" si="0"/>
        <v>28</v>
      </c>
      <c r="B35" s="103" t="s">
        <v>419</v>
      </c>
      <c r="C35" s="27">
        <v>146.9</v>
      </c>
      <c r="D35" s="27">
        <v>137.7</v>
      </c>
      <c r="E35" s="27">
        <v>110.8</v>
      </c>
      <c r="F35" s="27">
        <v>86.09</v>
      </c>
      <c r="G35" s="27">
        <v>83.09</v>
      </c>
      <c r="H35" s="27">
        <v>70.28</v>
      </c>
      <c r="I35" s="28">
        <v>67.28</v>
      </c>
      <c r="J35" s="28">
        <v>115.8</v>
      </c>
      <c r="K35" s="28">
        <v>102.92</v>
      </c>
      <c r="L35" s="28">
        <v>99.92</v>
      </c>
      <c r="M35" s="28">
        <v>87.94</v>
      </c>
      <c r="N35" s="28">
        <v>104.5</v>
      </c>
      <c r="O35" s="28">
        <v>82.58</v>
      </c>
      <c r="P35" s="28">
        <v>69.21</v>
      </c>
      <c r="Q35" s="28">
        <v>66.21</v>
      </c>
      <c r="R35" s="28">
        <v>60.16</v>
      </c>
      <c r="S35" s="28">
        <v>57.16</v>
      </c>
      <c r="T35" s="28">
        <v>58.34</v>
      </c>
    </row>
    <row r="36" spans="1:20" ht="12.75">
      <c r="A36" s="1">
        <f t="shared" si="0"/>
        <v>29</v>
      </c>
      <c r="B36" s="103" t="s">
        <v>420</v>
      </c>
      <c r="C36" s="27">
        <v>144.9</v>
      </c>
      <c r="D36" s="27">
        <v>135.2</v>
      </c>
      <c r="E36" s="27">
        <v>108.4</v>
      </c>
      <c r="F36" s="27">
        <v>83.69</v>
      </c>
      <c r="G36" s="27">
        <v>80.69</v>
      </c>
      <c r="H36" s="27">
        <v>68.21</v>
      </c>
      <c r="I36" s="28">
        <v>65.21</v>
      </c>
      <c r="J36" s="28">
        <v>113.4</v>
      </c>
      <c r="K36" s="28">
        <v>100.52</v>
      </c>
      <c r="L36" s="28">
        <v>97.52</v>
      </c>
      <c r="M36" s="28">
        <v>85.64</v>
      </c>
      <c r="N36" s="28">
        <v>102.2</v>
      </c>
      <c r="O36" s="28">
        <v>82.53</v>
      </c>
      <c r="P36" s="28">
        <v>69.15</v>
      </c>
      <c r="Q36" s="28">
        <v>66.15</v>
      </c>
      <c r="R36" s="28">
        <v>60.11</v>
      </c>
      <c r="S36" s="28">
        <v>57.11</v>
      </c>
      <c r="T36" s="28">
        <v>57.54</v>
      </c>
    </row>
    <row r="37" spans="1:20" ht="12.75">
      <c r="A37" s="1">
        <f t="shared" si="0"/>
        <v>30</v>
      </c>
      <c r="B37" s="103" t="s">
        <v>421</v>
      </c>
      <c r="C37" s="27">
        <v>144.9</v>
      </c>
      <c r="D37" s="27">
        <v>135.2</v>
      </c>
      <c r="E37" s="27">
        <v>108.4</v>
      </c>
      <c r="F37" s="27">
        <v>83.69</v>
      </c>
      <c r="G37" s="27">
        <v>80.69</v>
      </c>
      <c r="H37" s="27">
        <v>68.21</v>
      </c>
      <c r="I37" s="28">
        <v>65.21</v>
      </c>
      <c r="J37" s="28">
        <v>113.4</v>
      </c>
      <c r="K37" s="28">
        <v>100.52</v>
      </c>
      <c r="L37" s="28">
        <v>97.52</v>
      </c>
      <c r="M37" s="28">
        <v>85.64</v>
      </c>
      <c r="N37" s="28">
        <v>102.2</v>
      </c>
      <c r="O37" s="28">
        <v>82.53</v>
      </c>
      <c r="P37" s="28">
        <v>69.15</v>
      </c>
      <c r="Q37" s="28">
        <v>66.15</v>
      </c>
      <c r="R37" s="28">
        <v>60.11</v>
      </c>
      <c r="S37" s="28">
        <v>57.11</v>
      </c>
      <c r="T37" s="28">
        <v>57.54</v>
      </c>
    </row>
    <row r="38" spans="1:20" ht="12.75">
      <c r="A38" s="1">
        <f t="shared" si="0"/>
        <v>31</v>
      </c>
      <c r="B38" s="103" t="s">
        <v>422</v>
      </c>
      <c r="C38" s="27">
        <v>148.7</v>
      </c>
      <c r="D38" s="27">
        <v>139.4</v>
      </c>
      <c r="E38" s="27">
        <v>112.7</v>
      </c>
      <c r="F38" s="27">
        <v>87.99</v>
      </c>
      <c r="G38" s="27">
        <v>84.99</v>
      </c>
      <c r="H38" s="27">
        <v>71.92</v>
      </c>
      <c r="I38" s="28">
        <v>68.92</v>
      </c>
      <c r="J38" s="28">
        <v>117.7</v>
      </c>
      <c r="K38" s="28">
        <v>104.82</v>
      </c>
      <c r="L38" s="28">
        <v>101.85</v>
      </c>
      <c r="M38" s="28">
        <v>92.11</v>
      </c>
      <c r="N38" s="28">
        <v>109.1</v>
      </c>
      <c r="O38" s="28">
        <v>86.88</v>
      </c>
      <c r="P38" s="28">
        <v>73.83</v>
      </c>
      <c r="Q38" s="28">
        <v>70.83</v>
      </c>
      <c r="R38" s="28">
        <v>64.14</v>
      </c>
      <c r="S38" s="28">
        <v>61.14</v>
      </c>
      <c r="T38" s="29">
        <v>60.9</v>
      </c>
    </row>
    <row r="39" spans="1:20" ht="12.75">
      <c r="A39" s="1">
        <f t="shared" si="0"/>
        <v>32</v>
      </c>
      <c r="B39" s="103" t="s">
        <v>423</v>
      </c>
      <c r="C39" s="27">
        <v>156.5</v>
      </c>
      <c r="D39" s="27">
        <v>146.9</v>
      </c>
      <c r="E39" s="27">
        <v>119.7</v>
      </c>
      <c r="F39" s="27">
        <v>94.97</v>
      </c>
      <c r="G39" s="27">
        <v>91.97</v>
      </c>
      <c r="H39" s="27">
        <v>77.94</v>
      </c>
      <c r="I39" s="28">
        <v>74.94</v>
      </c>
      <c r="J39" s="28">
        <v>124.7</v>
      </c>
      <c r="K39" s="28">
        <v>111.8</v>
      </c>
      <c r="L39" s="28">
        <v>108.8</v>
      </c>
      <c r="M39" s="28">
        <v>95.81</v>
      </c>
      <c r="N39" s="28">
        <v>112.8</v>
      </c>
      <c r="O39" s="28">
        <v>88.68</v>
      </c>
      <c r="P39" s="28">
        <v>75.64</v>
      </c>
      <c r="Q39" s="28">
        <v>72.64</v>
      </c>
      <c r="R39" s="28">
        <v>65.7</v>
      </c>
      <c r="S39" s="28">
        <v>62.7</v>
      </c>
      <c r="T39" s="29">
        <v>63.22</v>
      </c>
    </row>
    <row r="40" spans="1:20" ht="12.75">
      <c r="A40" s="1">
        <f t="shared" si="0"/>
        <v>33</v>
      </c>
      <c r="B40" s="103" t="s">
        <v>424</v>
      </c>
      <c r="C40" s="27">
        <v>159.3</v>
      </c>
      <c r="D40" s="27">
        <v>149.2</v>
      </c>
      <c r="E40" s="27">
        <v>123.8</v>
      </c>
      <c r="F40" s="27">
        <v>99.1</v>
      </c>
      <c r="G40" s="27">
        <v>96.1</v>
      </c>
      <c r="H40" s="27">
        <v>81.5</v>
      </c>
      <c r="I40" s="28">
        <v>78.5</v>
      </c>
      <c r="J40" s="28">
        <v>128.8</v>
      </c>
      <c r="K40" s="28">
        <v>115.93</v>
      </c>
      <c r="L40" s="28">
        <v>112.93</v>
      </c>
      <c r="M40" s="28">
        <v>97.29</v>
      </c>
      <c r="N40" s="28">
        <v>114.2</v>
      </c>
      <c r="O40" s="28">
        <v>89.32</v>
      </c>
      <c r="P40" s="28">
        <v>76.27</v>
      </c>
      <c r="Q40" s="28">
        <v>73.27</v>
      </c>
      <c r="R40" s="28">
        <v>66.25</v>
      </c>
      <c r="S40" s="28">
        <v>63.25</v>
      </c>
      <c r="T40" s="29">
        <v>65.42</v>
      </c>
    </row>
    <row r="41" spans="1:20" ht="12.75">
      <c r="A41" s="1">
        <f t="shared" si="0"/>
        <v>34</v>
      </c>
      <c r="B41" s="103" t="s">
        <v>425</v>
      </c>
      <c r="C41" s="27">
        <v>155.3</v>
      </c>
      <c r="D41" s="27">
        <v>146.9</v>
      </c>
      <c r="E41" s="27">
        <v>122.1</v>
      </c>
      <c r="F41" s="27">
        <v>97.32</v>
      </c>
      <c r="G41" s="27">
        <v>94.32</v>
      </c>
      <c r="H41" s="27">
        <v>79.96</v>
      </c>
      <c r="I41" s="28">
        <v>76.96</v>
      </c>
      <c r="J41" s="28">
        <v>127.1</v>
      </c>
      <c r="K41" s="28">
        <v>114.15</v>
      </c>
      <c r="L41" s="28">
        <v>111.15</v>
      </c>
      <c r="M41" s="28">
        <v>95.82</v>
      </c>
      <c r="N41" s="28">
        <v>112.8</v>
      </c>
      <c r="O41" s="28">
        <v>92.17</v>
      </c>
      <c r="P41" s="28">
        <v>79.13</v>
      </c>
      <c r="Q41" s="28">
        <v>76.13</v>
      </c>
      <c r="R41" s="28">
        <v>68.71</v>
      </c>
      <c r="S41" s="28">
        <v>65.71</v>
      </c>
      <c r="T41" s="29">
        <v>65.42</v>
      </c>
    </row>
    <row r="42" spans="1:21" ht="22.5">
      <c r="A42" s="1">
        <f t="shared" si="0"/>
        <v>35</v>
      </c>
      <c r="B42" s="103" t="s">
        <v>426</v>
      </c>
      <c r="C42" s="27">
        <v>154</v>
      </c>
      <c r="D42" s="27">
        <v>145</v>
      </c>
      <c r="E42" s="27">
        <v>122.6</v>
      </c>
      <c r="F42" s="28">
        <v>97.88</v>
      </c>
      <c r="G42" s="28">
        <v>94.88</v>
      </c>
      <c r="H42" s="28">
        <v>80.45</v>
      </c>
      <c r="I42" s="28">
        <v>77.45</v>
      </c>
      <c r="J42" s="28">
        <v>127.6</v>
      </c>
      <c r="K42" s="28">
        <v>114.71</v>
      </c>
      <c r="L42" s="28">
        <v>111.71</v>
      </c>
      <c r="M42" s="28">
        <v>98.99</v>
      </c>
      <c r="N42" s="28">
        <v>113.1</v>
      </c>
      <c r="O42" s="28">
        <v>90.48</v>
      </c>
      <c r="P42" s="28">
        <v>77.42</v>
      </c>
      <c r="Q42" s="29">
        <v>74.42</v>
      </c>
      <c r="R42" s="28">
        <v>67.24</v>
      </c>
      <c r="S42" s="28">
        <v>64.24</v>
      </c>
      <c r="T42" s="29">
        <v>65.42</v>
      </c>
      <c r="U42" s="36"/>
    </row>
    <row r="43" spans="1:20" ht="12.75">
      <c r="A43" s="1">
        <f t="shared" si="0"/>
        <v>36</v>
      </c>
      <c r="B43" s="103" t="s">
        <v>427</v>
      </c>
      <c r="C43" s="27">
        <v>151.1</v>
      </c>
      <c r="D43" s="27">
        <v>141.5</v>
      </c>
      <c r="E43" s="27">
        <v>117.2</v>
      </c>
      <c r="F43" s="27">
        <v>92.54</v>
      </c>
      <c r="G43" s="27">
        <v>89.54</v>
      </c>
      <c r="H43" s="27">
        <v>75.84</v>
      </c>
      <c r="I43" s="28">
        <v>72.84</v>
      </c>
      <c r="J43" s="28">
        <v>122.2</v>
      </c>
      <c r="K43" s="28">
        <v>109.37</v>
      </c>
      <c r="L43" s="28">
        <v>106.37</v>
      </c>
      <c r="M43" s="28">
        <v>90.87</v>
      </c>
      <c r="N43" s="28">
        <v>108</v>
      </c>
      <c r="O43" s="28">
        <v>88.1</v>
      </c>
      <c r="P43" s="28">
        <v>75.04</v>
      </c>
      <c r="Q43" s="28">
        <v>72.04</v>
      </c>
      <c r="R43" s="28">
        <v>65.19</v>
      </c>
      <c r="S43" s="28">
        <v>62.19</v>
      </c>
      <c r="T43" s="29">
        <v>65.42</v>
      </c>
    </row>
    <row r="44" spans="1:20" ht="12.75">
      <c r="A44" s="1">
        <f t="shared" si="0"/>
        <v>37</v>
      </c>
      <c r="B44" s="103" t="s">
        <v>428</v>
      </c>
      <c r="C44" s="27">
        <v>151.1</v>
      </c>
      <c r="D44" s="27">
        <v>140.9</v>
      </c>
      <c r="E44" s="27">
        <v>117</v>
      </c>
      <c r="F44" s="27">
        <v>92.22</v>
      </c>
      <c r="G44" s="27">
        <v>89.22</v>
      </c>
      <c r="H44" s="27">
        <v>75.57</v>
      </c>
      <c r="I44" s="28">
        <v>72.57</v>
      </c>
      <c r="J44" s="28">
        <v>122</v>
      </c>
      <c r="K44" s="28">
        <v>109.05</v>
      </c>
      <c r="L44" s="28">
        <v>106.05</v>
      </c>
      <c r="M44" s="28">
        <v>90.21</v>
      </c>
      <c r="N44" s="28">
        <v>107.3</v>
      </c>
      <c r="O44" s="28">
        <v>88.64</v>
      </c>
      <c r="P44" s="28">
        <v>75.59</v>
      </c>
      <c r="Q44" s="28">
        <v>72.59</v>
      </c>
      <c r="R44" s="28">
        <v>65.66</v>
      </c>
      <c r="S44" s="28">
        <v>62.66</v>
      </c>
      <c r="T44" s="29">
        <v>65.42</v>
      </c>
    </row>
    <row r="45" spans="1:20" ht="12.75">
      <c r="A45" s="1">
        <f t="shared" si="0"/>
        <v>38</v>
      </c>
      <c r="B45" s="103" t="s">
        <v>429</v>
      </c>
      <c r="C45" s="27">
        <v>153.1</v>
      </c>
      <c r="D45" s="27">
        <v>140.4</v>
      </c>
      <c r="E45" s="27">
        <v>118.1</v>
      </c>
      <c r="F45" s="27">
        <v>93.32</v>
      </c>
      <c r="G45" s="27">
        <v>90.32</v>
      </c>
      <c r="H45" s="27">
        <v>76.52</v>
      </c>
      <c r="I45" s="28">
        <v>73.52</v>
      </c>
      <c r="J45" s="28">
        <v>123.1</v>
      </c>
      <c r="K45" s="28">
        <v>110.15</v>
      </c>
      <c r="L45" s="28">
        <v>107.15</v>
      </c>
      <c r="M45" s="28">
        <v>91.48</v>
      </c>
      <c r="N45" s="28">
        <v>108.6</v>
      </c>
      <c r="O45" s="28">
        <v>89.26</v>
      </c>
      <c r="P45" s="28">
        <v>76.22</v>
      </c>
      <c r="Q45" s="28">
        <v>73.22</v>
      </c>
      <c r="R45" s="28">
        <v>66.2</v>
      </c>
      <c r="S45" s="28">
        <v>63.2</v>
      </c>
      <c r="T45" s="29">
        <v>68.01</v>
      </c>
    </row>
    <row r="46" spans="1:20" ht="22.5">
      <c r="A46" s="1">
        <f t="shared" si="0"/>
        <v>39</v>
      </c>
      <c r="B46" s="103" t="s">
        <v>430</v>
      </c>
      <c r="C46" s="27">
        <v>151.1</v>
      </c>
      <c r="D46" s="27">
        <v>139.4</v>
      </c>
      <c r="E46" s="27">
        <v>118.1</v>
      </c>
      <c r="F46" s="27">
        <v>93.32</v>
      </c>
      <c r="G46" s="27">
        <v>90.32</v>
      </c>
      <c r="H46" s="27">
        <v>76.52</v>
      </c>
      <c r="I46" s="28">
        <v>73.52</v>
      </c>
      <c r="J46" s="28">
        <v>123.1</v>
      </c>
      <c r="K46" s="28">
        <v>110.15</v>
      </c>
      <c r="L46" s="28">
        <v>107.15</v>
      </c>
      <c r="M46" s="28">
        <v>92.37</v>
      </c>
      <c r="N46" s="28">
        <v>109.5</v>
      </c>
      <c r="O46" s="28">
        <v>88.26</v>
      </c>
      <c r="P46" s="28">
        <v>75.06</v>
      </c>
      <c r="Q46" s="28">
        <v>72.06</v>
      </c>
      <c r="R46" s="28">
        <v>65.2</v>
      </c>
      <c r="S46" s="28">
        <v>62.2</v>
      </c>
      <c r="T46" s="29">
        <v>68.01</v>
      </c>
    </row>
    <row r="47" spans="1:20" ht="12.75">
      <c r="A47" s="1">
        <f t="shared" si="0"/>
        <v>40</v>
      </c>
      <c r="B47" s="103" t="s">
        <v>431</v>
      </c>
      <c r="C47" s="27">
        <v>145.9</v>
      </c>
      <c r="D47" s="27">
        <v>135.5</v>
      </c>
      <c r="E47" s="27">
        <v>116.7</v>
      </c>
      <c r="F47" s="27">
        <v>91.97</v>
      </c>
      <c r="G47" s="27">
        <v>88.97</v>
      </c>
      <c r="H47" s="27">
        <v>75.35</v>
      </c>
      <c r="I47" s="28">
        <v>72.35</v>
      </c>
      <c r="J47" s="28">
        <v>121.7</v>
      </c>
      <c r="K47" s="28">
        <v>108.8</v>
      </c>
      <c r="L47" s="28">
        <v>105.8</v>
      </c>
      <c r="M47" s="28">
        <v>90.25</v>
      </c>
      <c r="N47" s="28">
        <v>107.1</v>
      </c>
      <c r="O47" s="28">
        <v>84.9</v>
      </c>
      <c r="P47" s="28">
        <v>71.85</v>
      </c>
      <c r="Q47" s="28">
        <v>68.85</v>
      </c>
      <c r="R47" s="28">
        <v>62.44</v>
      </c>
      <c r="S47" s="28">
        <v>59.44</v>
      </c>
      <c r="T47" s="29">
        <v>66.86</v>
      </c>
    </row>
    <row r="48" spans="1:20" ht="12.75">
      <c r="A48" s="1">
        <f t="shared" si="0"/>
        <v>41</v>
      </c>
      <c r="B48" s="103" t="s">
        <v>432</v>
      </c>
      <c r="C48" s="27">
        <v>149.9</v>
      </c>
      <c r="D48" s="27">
        <v>139.9</v>
      </c>
      <c r="E48" s="27">
        <v>119.4</v>
      </c>
      <c r="F48" s="27">
        <v>94.72</v>
      </c>
      <c r="G48" s="27">
        <v>91.72</v>
      </c>
      <c r="H48" s="27">
        <v>77.72</v>
      </c>
      <c r="I48" s="28">
        <v>74.72</v>
      </c>
      <c r="J48" s="28">
        <v>124.4</v>
      </c>
      <c r="K48" s="28">
        <v>111.55</v>
      </c>
      <c r="L48" s="28">
        <v>108.55</v>
      </c>
      <c r="M48" s="28">
        <v>92.8</v>
      </c>
      <c r="N48" s="28">
        <v>109.7</v>
      </c>
      <c r="O48" s="28">
        <v>86.24</v>
      </c>
      <c r="P48" s="28">
        <v>73.2</v>
      </c>
      <c r="Q48" s="28">
        <v>70.2</v>
      </c>
      <c r="R48" s="28">
        <v>63.6</v>
      </c>
      <c r="S48" s="28">
        <v>60.6</v>
      </c>
      <c r="T48" s="29">
        <v>67.29</v>
      </c>
    </row>
    <row r="49" spans="1:20" ht="12.75">
      <c r="A49" s="1">
        <f t="shared" si="0"/>
        <v>42</v>
      </c>
      <c r="B49" s="103" t="s">
        <v>433</v>
      </c>
      <c r="C49" s="27">
        <v>152.9</v>
      </c>
      <c r="D49" s="27">
        <v>142.5</v>
      </c>
      <c r="E49" s="27">
        <v>121.6</v>
      </c>
      <c r="F49" s="27">
        <v>93.89</v>
      </c>
      <c r="G49" s="27">
        <v>93.89</v>
      </c>
      <c r="H49" s="27">
        <v>79.59</v>
      </c>
      <c r="I49" s="28">
        <v>76.59</v>
      </c>
      <c r="J49" s="28">
        <v>126.6</v>
      </c>
      <c r="K49" s="28">
        <v>113.72</v>
      </c>
      <c r="L49" s="28">
        <v>110.72</v>
      </c>
      <c r="M49" s="28">
        <v>97.83</v>
      </c>
      <c r="N49" s="28">
        <v>114.7</v>
      </c>
      <c r="O49" s="28">
        <v>88.78</v>
      </c>
      <c r="P49" s="28">
        <v>75.73</v>
      </c>
      <c r="Q49" s="28">
        <v>72.73</v>
      </c>
      <c r="R49" s="28">
        <v>65.78</v>
      </c>
      <c r="S49" s="28">
        <v>62.78</v>
      </c>
      <c r="T49" s="29">
        <v>67.29</v>
      </c>
    </row>
    <row r="50" spans="1:20" ht="12.75">
      <c r="A50" s="1">
        <f t="shared" si="0"/>
        <v>43</v>
      </c>
      <c r="B50" s="103" t="s">
        <v>434</v>
      </c>
      <c r="C50" s="27">
        <v>156.4</v>
      </c>
      <c r="D50" s="27">
        <v>145.9</v>
      </c>
      <c r="E50" s="27">
        <v>121.6</v>
      </c>
      <c r="F50" s="27">
        <v>96.89</v>
      </c>
      <c r="G50" s="27">
        <v>93.89</v>
      </c>
      <c r="H50" s="27">
        <v>79.59</v>
      </c>
      <c r="I50" s="28">
        <v>76.59</v>
      </c>
      <c r="J50" s="28">
        <v>126.6</v>
      </c>
      <c r="K50" s="28">
        <v>113.72</v>
      </c>
      <c r="L50" s="28">
        <v>110.72</v>
      </c>
      <c r="M50" s="28">
        <v>103.6</v>
      </c>
      <c r="N50" s="28">
        <v>120.4</v>
      </c>
      <c r="O50" s="28">
        <v>93.92</v>
      </c>
      <c r="P50" s="28">
        <v>80.88</v>
      </c>
      <c r="Q50" s="28">
        <v>77.88</v>
      </c>
      <c r="R50" s="28">
        <v>70.22</v>
      </c>
      <c r="S50" s="28">
        <v>67.22</v>
      </c>
      <c r="T50" s="29">
        <v>67.29</v>
      </c>
    </row>
    <row r="51" spans="1:20" ht="22.5">
      <c r="A51" s="1">
        <f t="shared" si="0"/>
        <v>44</v>
      </c>
      <c r="B51" s="103" t="s">
        <v>435</v>
      </c>
      <c r="C51" s="27">
        <v>160.8</v>
      </c>
      <c r="D51" s="27">
        <v>150.6</v>
      </c>
      <c r="E51" s="27">
        <v>125.4</v>
      </c>
      <c r="F51" s="27">
        <v>100.68</v>
      </c>
      <c r="G51" s="27">
        <v>97.68</v>
      </c>
      <c r="H51" s="27">
        <v>82.86</v>
      </c>
      <c r="I51" s="28">
        <v>79.86</v>
      </c>
      <c r="J51" s="28">
        <v>130.4</v>
      </c>
      <c r="K51" s="28">
        <v>117.51</v>
      </c>
      <c r="L51" s="28">
        <v>114.51</v>
      </c>
      <c r="M51" s="28">
        <v>103.6</v>
      </c>
      <c r="N51" s="28">
        <v>120.4</v>
      </c>
      <c r="O51" s="28">
        <v>94.01</v>
      </c>
      <c r="P51" s="28">
        <v>80.97</v>
      </c>
      <c r="Q51" s="28">
        <v>77.97</v>
      </c>
      <c r="R51" s="28">
        <v>70.3</v>
      </c>
      <c r="S51" s="28">
        <v>67.3</v>
      </c>
      <c r="T51" s="29">
        <v>70.77</v>
      </c>
    </row>
    <row r="52" spans="1:20" ht="12.75">
      <c r="A52" s="1">
        <f t="shared" si="0"/>
        <v>45</v>
      </c>
      <c r="B52" s="103" t="s">
        <v>436</v>
      </c>
      <c r="C52" s="27">
        <v>160.8</v>
      </c>
      <c r="D52" s="27">
        <v>150.6</v>
      </c>
      <c r="E52" s="27">
        <v>125.4</v>
      </c>
      <c r="F52" s="27">
        <v>100.68</v>
      </c>
      <c r="G52" s="27">
        <v>97.68</v>
      </c>
      <c r="H52" s="27">
        <v>82.86</v>
      </c>
      <c r="I52" s="28">
        <v>79.86</v>
      </c>
      <c r="J52" s="28">
        <v>130.4</v>
      </c>
      <c r="K52" s="28">
        <v>117.51</v>
      </c>
      <c r="L52" s="28">
        <v>114.51</v>
      </c>
      <c r="M52" s="28">
        <v>103.6</v>
      </c>
      <c r="N52" s="28">
        <v>120.4</v>
      </c>
      <c r="O52" s="28">
        <v>94.01</v>
      </c>
      <c r="P52" s="28">
        <v>80.97</v>
      </c>
      <c r="Q52" s="28">
        <v>77.97</v>
      </c>
      <c r="R52" s="28">
        <v>70.3</v>
      </c>
      <c r="S52" s="28">
        <v>67.3</v>
      </c>
      <c r="T52" s="29">
        <v>70.77</v>
      </c>
    </row>
    <row r="53" spans="1:20" ht="12.75">
      <c r="A53" s="1">
        <f t="shared" si="0"/>
        <v>46</v>
      </c>
      <c r="B53" s="103" t="s">
        <v>437</v>
      </c>
      <c r="C53" s="27">
        <v>160.8</v>
      </c>
      <c r="D53" s="27">
        <v>150.6</v>
      </c>
      <c r="E53" s="27">
        <v>125.4</v>
      </c>
      <c r="F53" s="27">
        <v>100.68</v>
      </c>
      <c r="G53" s="27">
        <v>97.68</v>
      </c>
      <c r="H53" s="27">
        <v>82.86</v>
      </c>
      <c r="I53" s="28">
        <v>79.86</v>
      </c>
      <c r="J53" s="28">
        <v>130.4</v>
      </c>
      <c r="K53" s="28">
        <v>117.51</v>
      </c>
      <c r="L53" s="28">
        <v>114.51</v>
      </c>
      <c r="M53" s="28">
        <v>103.6</v>
      </c>
      <c r="N53" s="28">
        <v>120.4</v>
      </c>
      <c r="O53" s="28">
        <v>94.01</v>
      </c>
      <c r="P53" s="28">
        <v>80.97</v>
      </c>
      <c r="Q53" s="28">
        <v>77.97</v>
      </c>
      <c r="R53" s="28">
        <v>70.3</v>
      </c>
      <c r="S53" s="28">
        <v>67.3</v>
      </c>
      <c r="T53" s="29">
        <v>70.77</v>
      </c>
    </row>
    <row r="54" spans="1:20" ht="12.75">
      <c r="A54" s="1">
        <f t="shared" si="0"/>
        <v>47</v>
      </c>
      <c r="B54" s="103" t="s">
        <v>438</v>
      </c>
      <c r="C54" s="27">
        <v>160.8</v>
      </c>
      <c r="D54" s="27">
        <v>150.6</v>
      </c>
      <c r="E54" s="27">
        <v>127.3</v>
      </c>
      <c r="F54" s="27">
        <v>102.58</v>
      </c>
      <c r="G54" s="27">
        <v>99.58</v>
      </c>
      <c r="H54" s="27">
        <v>84.5</v>
      </c>
      <c r="I54" s="28">
        <v>81.5</v>
      </c>
      <c r="J54" s="28">
        <v>132.3</v>
      </c>
      <c r="K54" s="28">
        <v>119.41</v>
      </c>
      <c r="L54" s="28">
        <v>116.41</v>
      </c>
      <c r="M54" s="28">
        <v>103.6</v>
      </c>
      <c r="N54" s="28">
        <v>120.4</v>
      </c>
      <c r="O54" s="28">
        <v>95.5</v>
      </c>
      <c r="P54" s="28">
        <v>82.45</v>
      </c>
      <c r="Q54" s="28">
        <v>79.45</v>
      </c>
      <c r="R54" s="28">
        <v>71.57</v>
      </c>
      <c r="S54" s="28">
        <v>68.57</v>
      </c>
      <c r="T54" s="29">
        <v>72.29</v>
      </c>
    </row>
    <row r="55" spans="1:23" ht="22.5">
      <c r="A55" s="1">
        <f t="shared" si="0"/>
        <v>48</v>
      </c>
      <c r="B55" s="103" t="s">
        <v>439</v>
      </c>
      <c r="C55" s="27">
        <v>159.8</v>
      </c>
      <c r="D55" s="27">
        <v>149.6</v>
      </c>
      <c r="E55" s="27">
        <v>127.3</v>
      </c>
      <c r="F55" s="28">
        <v>102.58</v>
      </c>
      <c r="G55" s="28">
        <v>99.58</v>
      </c>
      <c r="H55" s="28">
        <v>84.5</v>
      </c>
      <c r="I55" s="28">
        <v>81.5</v>
      </c>
      <c r="J55" s="28">
        <v>132.3</v>
      </c>
      <c r="K55" s="28">
        <v>119.41</v>
      </c>
      <c r="L55" s="28">
        <v>116.41</v>
      </c>
      <c r="M55" s="28">
        <v>102.6</v>
      </c>
      <c r="N55" s="28">
        <v>119.4</v>
      </c>
      <c r="O55" s="28">
        <v>95.5</v>
      </c>
      <c r="P55" s="28">
        <v>82.45</v>
      </c>
      <c r="Q55" s="29">
        <v>79.45</v>
      </c>
      <c r="R55" s="28">
        <v>71.57</v>
      </c>
      <c r="S55" s="28">
        <v>68.57</v>
      </c>
      <c r="T55" s="29">
        <v>72.29</v>
      </c>
      <c r="U55" s="36"/>
      <c r="W55" s="36"/>
    </row>
    <row r="56" spans="1:20" ht="12.75">
      <c r="A56" s="1">
        <f t="shared" si="0"/>
        <v>49</v>
      </c>
      <c r="B56" s="103" t="s">
        <v>440</v>
      </c>
      <c r="C56" s="27">
        <v>158.2</v>
      </c>
      <c r="D56" s="27">
        <v>148.8</v>
      </c>
      <c r="E56" s="27">
        <v>128.6</v>
      </c>
      <c r="F56" s="27">
        <v>103.9</v>
      </c>
      <c r="G56" s="27">
        <v>100.9</v>
      </c>
      <c r="H56" s="27">
        <v>85.64</v>
      </c>
      <c r="I56" s="28">
        <v>82.64</v>
      </c>
      <c r="J56" s="28">
        <v>133.6</v>
      </c>
      <c r="K56" s="28">
        <v>120.73</v>
      </c>
      <c r="L56" s="28">
        <v>117.73</v>
      </c>
      <c r="M56" s="28">
        <v>102.6</v>
      </c>
      <c r="N56" s="28">
        <v>119.4</v>
      </c>
      <c r="O56" s="28">
        <v>96.57</v>
      </c>
      <c r="P56" s="28">
        <v>83.52</v>
      </c>
      <c r="Q56" s="28">
        <v>80.52</v>
      </c>
      <c r="R56" s="28">
        <v>72.5</v>
      </c>
      <c r="S56" s="28">
        <v>69.5</v>
      </c>
      <c r="T56" s="29">
        <v>75.5</v>
      </c>
    </row>
    <row r="57" spans="1:20" ht="12.75">
      <c r="A57" s="1">
        <f t="shared" si="0"/>
        <v>50</v>
      </c>
      <c r="B57" s="103" t="s">
        <v>441</v>
      </c>
      <c r="C57" s="27">
        <v>155</v>
      </c>
      <c r="D57" s="27">
        <v>145.6</v>
      </c>
      <c r="E57" s="27">
        <v>126.5</v>
      </c>
      <c r="F57" s="27">
        <v>101.91</v>
      </c>
      <c r="G57" s="27">
        <v>98.91</v>
      </c>
      <c r="H57" s="27">
        <v>83.92</v>
      </c>
      <c r="I57" s="28">
        <v>80.92</v>
      </c>
      <c r="J57" s="28">
        <v>131.5</v>
      </c>
      <c r="K57" s="28">
        <v>118.74</v>
      </c>
      <c r="L57" s="28">
        <v>115.74</v>
      </c>
      <c r="M57" s="28">
        <v>100.6</v>
      </c>
      <c r="N57" s="28">
        <v>117.4</v>
      </c>
      <c r="O57" s="28">
        <v>93.7</v>
      </c>
      <c r="P57" s="28">
        <v>81.2</v>
      </c>
      <c r="Q57" s="28">
        <v>78.2</v>
      </c>
      <c r="R57" s="28">
        <v>70.5</v>
      </c>
      <c r="S57" s="28">
        <v>67.5</v>
      </c>
      <c r="T57" s="29">
        <v>75.5</v>
      </c>
    </row>
    <row r="58" spans="1:20" ht="12.75">
      <c r="A58" s="1">
        <f t="shared" si="0"/>
        <v>51</v>
      </c>
      <c r="B58" s="103" t="s">
        <v>442</v>
      </c>
      <c r="C58" s="27">
        <v>151.8</v>
      </c>
      <c r="D58" s="27">
        <v>142.8</v>
      </c>
      <c r="E58" s="27">
        <v>124.1</v>
      </c>
      <c r="F58" s="27">
        <v>99.3</v>
      </c>
      <c r="G58" s="27">
        <v>96.3</v>
      </c>
      <c r="H58" s="27">
        <v>81.67</v>
      </c>
      <c r="I58" s="28">
        <v>78.67</v>
      </c>
      <c r="J58" s="28">
        <v>129.1</v>
      </c>
      <c r="K58" s="28">
        <v>113.13</v>
      </c>
      <c r="L58" s="28">
        <v>98.97</v>
      </c>
      <c r="M58" s="28">
        <v>98.97</v>
      </c>
      <c r="N58" s="28">
        <v>116.2</v>
      </c>
      <c r="O58" s="28">
        <v>92.46</v>
      </c>
      <c r="P58" s="28">
        <v>79.42</v>
      </c>
      <c r="Q58" s="28">
        <v>76.42</v>
      </c>
      <c r="R58" s="28">
        <v>68.96</v>
      </c>
      <c r="S58" s="28">
        <v>65.96</v>
      </c>
      <c r="T58" s="28">
        <v>75.5</v>
      </c>
    </row>
    <row r="59" spans="1:20" ht="22.5">
      <c r="A59" s="1">
        <f>A58+1</f>
        <v>52</v>
      </c>
      <c r="B59" s="104" t="s">
        <v>443</v>
      </c>
      <c r="C59" s="30">
        <v>151.8</v>
      </c>
      <c r="D59" s="30">
        <v>142.8</v>
      </c>
      <c r="E59" s="30">
        <v>124.1</v>
      </c>
      <c r="F59" s="30">
        <v>99.3</v>
      </c>
      <c r="G59" s="30">
        <v>96.3</v>
      </c>
      <c r="H59" s="30">
        <v>81.67</v>
      </c>
      <c r="I59" s="34">
        <v>78.67</v>
      </c>
      <c r="J59" s="34">
        <v>129.1</v>
      </c>
      <c r="K59" s="34">
        <v>113.13</v>
      </c>
      <c r="L59" s="34">
        <v>98.97</v>
      </c>
      <c r="M59" s="34">
        <v>98.97</v>
      </c>
      <c r="N59" s="34">
        <v>116.2</v>
      </c>
      <c r="O59" s="34">
        <v>92.46</v>
      </c>
      <c r="P59" s="34">
        <v>79.42</v>
      </c>
      <c r="Q59" s="34">
        <v>76.42</v>
      </c>
      <c r="R59" s="34">
        <v>68.96</v>
      </c>
      <c r="S59" s="34">
        <v>65.96</v>
      </c>
      <c r="T59" s="34">
        <v>75.5</v>
      </c>
    </row>
    <row r="60" spans="2:20" ht="13.5" thickBot="1">
      <c r="B60" s="105" t="s">
        <v>651</v>
      </c>
      <c r="C60" s="73">
        <f aca="true" t="shared" si="1" ref="C60:H60">SUM(C8:C59)/52</f>
        <v>142.04038461538465</v>
      </c>
      <c r="D60" s="73">
        <f t="shared" si="1"/>
        <v>131.91923076923075</v>
      </c>
      <c r="E60" s="73">
        <f t="shared" si="1"/>
        <v>111.60769230769233</v>
      </c>
      <c r="F60" s="73">
        <f t="shared" si="1"/>
        <v>86.80019230769228</v>
      </c>
      <c r="G60" s="73">
        <f t="shared" si="1"/>
        <v>83.85807692307691</v>
      </c>
      <c r="H60" s="73">
        <f t="shared" si="1"/>
        <v>70.94538461538463</v>
      </c>
      <c r="I60" s="73">
        <f aca="true" t="shared" si="2" ref="I60:S60">SUM(I8:I59)/52</f>
        <v>67.94538461538464</v>
      </c>
      <c r="J60" s="73">
        <f t="shared" si="2"/>
        <v>116.81153846153849</v>
      </c>
      <c r="K60" s="73">
        <f t="shared" si="2"/>
        <v>103.76538461538463</v>
      </c>
      <c r="L60" s="73">
        <f t="shared" si="2"/>
        <v>100.3367307692308</v>
      </c>
      <c r="M60" s="73">
        <f t="shared" si="2"/>
        <v>87.04134615384616</v>
      </c>
      <c r="N60" s="73">
        <f t="shared" si="2"/>
        <v>103.59807692307685</v>
      </c>
      <c r="O60" s="73">
        <f t="shared" si="2"/>
        <v>79.37788461538464</v>
      </c>
      <c r="P60" s="73">
        <f t="shared" si="2"/>
        <v>66.34807692307689</v>
      </c>
      <c r="Q60" s="73">
        <f t="shared" si="2"/>
        <v>62.771153846153815</v>
      </c>
      <c r="R60" s="73">
        <f t="shared" si="2"/>
        <v>57.692884615384635</v>
      </c>
      <c r="S60" s="73">
        <f t="shared" si="2"/>
        <v>54.69288461538464</v>
      </c>
      <c r="T60" s="73">
        <f>SUM(T8:T59)/52</f>
        <v>61.55019230769232</v>
      </c>
    </row>
    <row r="61" ht="13.5" thickTop="1"/>
  </sheetData>
  <sheetProtection/>
  <mergeCells count="4">
    <mergeCell ref="A1:T1"/>
    <mergeCell ref="C6:T6"/>
    <mergeCell ref="A3:U3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3.00390625" style="0" bestFit="1" customWidth="1"/>
    <col min="2" max="2" width="23.28125" style="0" customWidth="1"/>
    <col min="3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140625" style="0" bestFit="1" customWidth="1"/>
    <col min="10" max="10" width="9.140625" style="0" customWidth="1"/>
    <col min="11" max="12" width="8.140625" style="0" bestFit="1" customWidth="1"/>
    <col min="13" max="13" width="7.140625" style="0" bestFit="1" customWidth="1"/>
    <col min="14" max="14" width="8.7109375" style="0" bestFit="1" customWidth="1"/>
    <col min="15" max="15" width="7.140625" style="0" bestFit="1" customWidth="1"/>
    <col min="16" max="17" width="7.28125" style="0" customWidth="1"/>
    <col min="18" max="18" width="6.421875" style="0" customWidth="1"/>
    <col min="19" max="19" width="6.57421875" style="0" customWidth="1"/>
    <col min="20" max="20" width="5.57421875" style="0" bestFit="1" customWidth="1"/>
  </cols>
  <sheetData>
    <row r="1" spans="1:20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>
      <c r="A3" s="132" t="s">
        <v>889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ht="12.75">
      <c r="B5" s="14" t="s">
        <v>338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</row>
    <row r="6" spans="2:20" ht="56.2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10</v>
      </c>
      <c r="N6" s="15" t="s">
        <v>19</v>
      </c>
      <c r="O6" s="15" t="s">
        <v>296</v>
      </c>
      <c r="P6" s="15" t="s">
        <v>12</v>
      </c>
      <c r="Q6" s="15" t="s">
        <v>13</v>
      </c>
      <c r="R6" s="15" t="s">
        <v>297</v>
      </c>
      <c r="S6" s="15" t="s">
        <v>15</v>
      </c>
      <c r="T6" s="15" t="s">
        <v>75</v>
      </c>
    </row>
    <row r="7" spans="1:20" ht="12.75">
      <c r="A7" s="1">
        <v>1</v>
      </c>
      <c r="B7" s="4" t="s">
        <v>339</v>
      </c>
      <c r="C7" s="25">
        <v>160</v>
      </c>
      <c r="D7" s="25">
        <v>150.7</v>
      </c>
      <c r="E7" s="25">
        <v>131.7</v>
      </c>
      <c r="F7" s="25">
        <v>106.98</v>
      </c>
      <c r="G7" s="25">
        <v>103.98</v>
      </c>
      <c r="H7" s="25">
        <v>88.29</v>
      </c>
      <c r="I7" s="25">
        <v>85.29</v>
      </c>
      <c r="J7" s="26">
        <v>139.7</v>
      </c>
      <c r="K7" s="26">
        <v>123.81</v>
      </c>
      <c r="L7" s="26">
        <v>120.81</v>
      </c>
      <c r="M7" s="26">
        <v>104.92</v>
      </c>
      <c r="N7" s="26">
        <v>122.3</v>
      </c>
      <c r="O7" s="26">
        <v>95.52</v>
      </c>
      <c r="P7" s="26">
        <v>82.47</v>
      </c>
      <c r="Q7" s="26">
        <v>79.47</v>
      </c>
      <c r="R7" s="26">
        <v>71.59</v>
      </c>
      <c r="S7" s="26">
        <v>68.59</v>
      </c>
      <c r="T7" s="9">
        <v>80</v>
      </c>
    </row>
    <row r="8" spans="1:20" ht="12.75">
      <c r="A8" s="1">
        <f aca="true" t="shared" si="0" ref="A8:A58">A7+1</f>
        <v>2</v>
      </c>
      <c r="B8" s="4" t="s">
        <v>340</v>
      </c>
      <c r="C8" s="27">
        <v>163.7</v>
      </c>
      <c r="D8" s="27">
        <v>154.5</v>
      </c>
      <c r="E8" s="27">
        <v>131.7</v>
      </c>
      <c r="F8" s="27">
        <v>106.98</v>
      </c>
      <c r="G8" s="27">
        <v>103.98</v>
      </c>
      <c r="H8" s="27">
        <v>88.29</v>
      </c>
      <c r="I8" s="27">
        <v>85.29</v>
      </c>
      <c r="J8" s="28">
        <v>136.7</v>
      </c>
      <c r="K8" s="28">
        <v>123.81</v>
      </c>
      <c r="L8" s="28">
        <v>120.81</v>
      </c>
      <c r="M8" s="28">
        <v>108.84</v>
      </c>
      <c r="N8" s="28">
        <v>126.2</v>
      </c>
      <c r="O8" s="28">
        <v>99.65</v>
      </c>
      <c r="P8" s="28">
        <v>86.6</v>
      </c>
      <c r="Q8" s="28">
        <v>83.6</v>
      </c>
      <c r="R8" s="28">
        <v>75.15</v>
      </c>
      <c r="S8" s="28">
        <v>72.15</v>
      </c>
      <c r="T8" s="9">
        <v>80</v>
      </c>
    </row>
    <row r="9" spans="1:20" ht="12.75">
      <c r="A9" s="1">
        <f t="shared" si="0"/>
        <v>3</v>
      </c>
      <c r="B9" s="4" t="s">
        <v>341</v>
      </c>
      <c r="C9" s="27">
        <v>163.7</v>
      </c>
      <c r="D9" s="27">
        <v>154.5</v>
      </c>
      <c r="E9" s="27">
        <v>131.7</v>
      </c>
      <c r="F9" s="27">
        <v>106.98</v>
      </c>
      <c r="G9" s="27">
        <v>103.98</v>
      </c>
      <c r="H9" s="27">
        <v>88.29</v>
      </c>
      <c r="I9" s="27">
        <v>85.29</v>
      </c>
      <c r="J9" s="28">
        <v>136.7</v>
      </c>
      <c r="K9" s="28">
        <v>123.81</v>
      </c>
      <c r="L9" s="28">
        <v>120.81</v>
      </c>
      <c r="M9" s="28">
        <v>108.84</v>
      </c>
      <c r="N9" s="28">
        <v>126.2</v>
      </c>
      <c r="O9" s="28">
        <v>99.65</v>
      </c>
      <c r="P9" s="28">
        <v>86.6</v>
      </c>
      <c r="Q9" s="28">
        <v>83.6</v>
      </c>
      <c r="R9" s="28">
        <v>75.15</v>
      </c>
      <c r="S9" s="28">
        <v>72.15</v>
      </c>
      <c r="T9" s="9">
        <v>80</v>
      </c>
    </row>
    <row r="10" spans="1:20" ht="12.75">
      <c r="A10" s="1">
        <f t="shared" si="0"/>
        <v>4</v>
      </c>
      <c r="B10" s="4" t="s">
        <v>342</v>
      </c>
      <c r="C10" s="27">
        <v>161.6</v>
      </c>
      <c r="D10" s="27">
        <v>151.8</v>
      </c>
      <c r="E10" s="27">
        <v>128.8</v>
      </c>
      <c r="F10" s="27">
        <v>104</v>
      </c>
      <c r="G10" s="27">
        <v>101</v>
      </c>
      <c r="H10" s="27">
        <v>85.72</v>
      </c>
      <c r="I10" s="27">
        <v>82.72</v>
      </c>
      <c r="J10" s="28">
        <v>133.8</v>
      </c>
      <c r="K10" s="28">
        <v>120.83</v>
      </c>
      <c r="L10" s="28">
        <v>117.83</v>
      </c>
      <c r="M10" s="28">
        <v>103.17</v>
      </c>
      <c r="N10" s="28">
        <v>120.5</v>
      </c>
      <c r="O10" s="28">
        <v>95.53</v>
      </c>
      <c r="P10" s="28">
        <v>82.49</v>
      </c>
      <c r="Q10" s="28">
        <v>79.49</v>
      </c>
      <c r="R10" s="28">
        <v>71.61</v>
      </c>
      <c r="S10" s="28">
        <v>68.61</v>
      </c>
      <c r="T10" s="9">
        <v>80</v>
      </c>
    </row>
    <row r="11" spans="1:20" ht="12.75">
      <c r="A11" s="1">
        <f t="shared" si="0"/>
        <v>5</v>
      </c>
      <c r="B11" s="4" t="s">
        <v>343</v>
      </c>
      <c r="C11" s="27">
        <v>157.5</v>
      </c>
      <c r="D11" s="27">
        <v>148</v>
      </c>
      <c r="E11" s="27">
        <v>125.3</v>
      </c>
      <c r="F11" s="27">
        <v>100.52</v>
      </c>
      <c r="G11" s="27">
        <v>97.52</v>
      </c>
      <c r="H11" s="27">
        <v>82.72</v>
      </c>
      <c r="I11" s="27">
        <v>79.72</v>
      </c>
      <c r="J11" s="28">
        <v>130.3</v>
      </c>
      <c r="K11" s="28">
        <v>117.35</v>
      </c>
      <c r="L11" s="28">
        <v>114.35</v>
      </c>
      <c r="M11" s="28">
        <v>99.46</v>
      </c>
      <c r="N11" s="28">
        <v>116.5</v>
      </c>
      <c r="O11" s="28">
        <v>93.19</v>
      </c>
      <c r="P11" s="28">
        <v>80.15</v>
      </c>
      <c r="Q11" s="28">
        <v>77.15</v>
      </c>
      <c r="R11" s="28">
        <v>69.59</v>
      </c>
      <c r="S11" s="28">
        <v>69.59</v>
      </c>
      <c r="T11" s="9">
        <v>80</v>
      </c>
    </row>
    <row r="12" spans="1:20" ht="12.75">
      <c r="A12" s="1">
        <f t="shared" si="0"/>
        <v>6</v>
      </c>
      <c r="B12" s="4" t="s">
        <v>344</v>
      </c>
      <c r="C12" s="27">
        <v>157.8</v>
      </c>
      <c r="D12" s="27">
        <v>148.8</v>
      </c>
      <c r="E12" s="27">
        <v>127.6</v>
      </c>
      <c r="F12" s="27">
        <v>102.85</v>
      </c>
      <c r="G12" s="27">
        <v>99.85</v>
      </c>
      <c r="H12" s="27">
        <v>84.73</v>
      </c>
      <c r="I12" s="27">
        <v>81.73</v>
      </c>
      <c r="J12" s="28">
        <v>132.6</v>
      </c>
      <c r="K12" s="28">
        <v>119.68</v>
      </c>
      <c r="L12" s="28">
        <v>116.68</v>
      </c>
      <c r="M12" s="28">
        <v>101.51</v>
      </c>
      <c r="N12" s="28">
        <v>118.5</v>
      </c>
      <c r="O12" s="28">
        <v>95.38</v>
      </c>
      <c r="P12" s="28">
        <v>82.34</v>
      </c>
      <c r="Q12" s="28">
        <v>79.34</v>
      </c>
      <c r="R12" s="28">
        <v>71.48</v>
      </c>
      <c r="S12" s="28">
        <v>68.48</v>
      </c>
      <c r="T12" s="9">
        <v>80</v>
      </c>
    </row>
    <row r="13" spans="1:20" ht="12.75">
      <c r="A13" s="1">
        <f t="shared" si="0"/>
        <v>7</v>
      </c>
      <c r="B13" s="4" t="s">
        <v>345</v>
      </c>
      <c r="C13" s="27">
        <v>154.1</v>
      </c>
      <c r="D13" s="27">
        <v>145.1</v>
      </c>
      <c r="E13" s="27">
        <v>124.4</v>
      </c>
      <c r="F13" s="27">
        <v>99.61</v>
      </c>
      <c r="G13" s="27">
        <v>96.61</v>
      </c>
      <c r="H13" s="27">
        <v>81.94</v>
      </c>
      <c r="I13" s="27">
        <v>78.94</v>
      </c>
      <c r="J13" s="28">
        <v>129.4</v>
      </c>
      <c r="K13" s="28">
        <v>116.44</v>
      </c>
      <c r="L13" s="28">
        <v>113.44</v>
      </c>
      <c r="M13" s="28">
        <v>98.53</v>
      </c>
      <c r="N13" s="28">
        <v>115.5</v>
      </c>
      <c r="O13" s="28">
        <v>93.17</v>
      </c>
      <c r="P13" s="28">
        <v>80.13</v>
      </c>
      <c r="Q13" s="28">
        <v>77.13</v>
      </c>
      <c r="R13" s="28">
        <v>69.57</v>
      </c>
      <c r="S13" s="28">
        <v>66.57</v>
      </c>
      <c r="T13" s="9">
        <v>80</v>
      </c>
    </row>
    <row r="14" spans="1:20" ht="12.75">
      <c r="A14" s="1">
        <f t="shared" si="0"/>
        <v>8</v>
      </c>
      <c r="B14" s="4" t="s">
        <v>346</v>
      </c>
      <c r="C14" s="27">
        <v>157.1</v>
      </c>
      <c r="D14" s="27">
        <v>148.3</v>
      </c>
      <c r="E14" s="27">
        <v>126.7</v>
      </c>
      <c r="F14" s="27">
        <v>101.93</v>
      </c>
      <c r="G14" s="27">
        <v>98.93</v>
      </c>
      <c r="H14" s="27">
        <v>83.94</v>
      </c>
      <c r="I14" s="27">
        <v>80.94</v>
      </c>
      <c r="J14" s="28">
        <v>131.7</v>
      </c>
      <c r="K14" s="28">
        <v>118.76</v>
      </c>
      <c r="L14" s="28">
        <v>115.76</v>
      </c>
      <c r="M14" s="28">
        <v>100.71</v>
      </c>
      <c r="N14" s="28">
        <v>117.7</v>
      </c>
      <c r="O14" s="28">
        <v>95.54</v>
      </c>
      <c r="P14" s="28">
        <v>82.49</v>
      </c>
      <c r="Q14" s="28">
        <v>79.49</v>
      </c>
      <c r="R14" s="28">
        <v>71.61</v>
      </c>
      <c r="S14" s="28">
        <v>68.61</v>
      </c>
      <c r="T14" s="9">
        <v>80</v>
      </c>
    </row>
    <row r="15" spans="1:20" ht="12.75">
      <c r="A15" s="1">
        <f t="shared" si="0"/>
        <v>9</v>
      </c>
      <c r="B15" s="4" t="s">
        <v>347</v>
      </c>
      <c r="C15" s="27">
        <v>160.3</v>
      </c>
      <c r="D15" s="27">
        <v>151.1</v>
      </c>
      <c r="E15" s="27">
        <v>128.5</v>
      </c>
      <c r="F15" s="27">
        <v>103.71</v>
      </c>
      <c r="G15" s="27">
        <v>100.71</v>
      </c>
      <c r="H15" s="27">
        <v>85.47</v>
      </c>
      <c r="I15" s="27">
        <v>82.47</v>
      </c>
      <c r="J15" s="28">
        <v>133.5</v>
      </c>
      <c r="K15" s="28">
        <v>120.54</v>
      </c>
      <c r="L15" s="28">
        <v>117.54</v>
      </c>
      <c r="M15" s="28">
        <v>102.74</v>
      </c>
      <c r="N15" s="28">
        <v>119.8</v>
      </c>
      <c r="O15" s="28">
        <v>96.45</v>
      </c>
      <c r="P15" s="28">
        <v>83.54</v>
      </c>
      <c r="Q15" s="28">
        <v>80.54</v>
      </c>
      <c r="R15" s="28">
        <v>72.51</v>
      </c>
      <c r="S15" s="28">
        <v>69.5</v>
      </c>
      <c r="T15" s="9">
        <v>80</v>
      </c>
    </row>
    <row r="16" spans="1:20" ht="12.75">
      <c r="A16" s="1">
        <f t="shared" si="0"/>
        <v>10</v>
      </c>
      <c r="B16" s="4" t="s">
        <v>348</v>
      </c>
      <c r="C16" s="27">
        <v>160.3</v>
      </c>
      <c r="D16" s="27">
        <v>151.1</v>
      </c>
      <c r="E16" s="27">
        <v>128.5</v>
      </c>
      <c r="F16" s="27">
        <v>103.71</v>
      </c>
      <c r="G16" s="27">
        <v>100.71</v>
      </c>
      <c r="H16" s="27">
        <v>85.47</v>
      </c>
      <c r="I16" s="27">
        <v>82.47</v>
      </c>
      <c r="J16" s="28">
        <v>133.5</v>
      </c>
      <c r="K16" s="28">
        <v>120.54</v>
      </c>
      <c r="L16" s="28">
        <v>117.54</v>
      </c>
      <c r="M16" s="28">
        <v>102.74</v>
      </c>
      <c r="N16" s="28">
        <v>119.8</v>
      </c>
      <c r="O16" s="28">
        <v>96.45</v>
      </c>
      <c r="P16" s="28">
        <v>83.54</v>
      </c>
      <c r="Q16" s="28">
        <v>80.54</v>
      </c>
      <c r="R16" s="28">
        <v>72.51</v>
      </c>
      <c r="S16" s="28">
        <v>69.5</v>
      </c>
      <c r="T16" s="9">
        <v>80</v>
      </c>
    </row>
    <row r="17" spans="1:20" ht="12.75">
      <c r="A17" s="1">
        <f t="shared" si="0"/>
        <v>11</v>
      </c>
      <c r="B17" s="4" t="s">
        <v>349</v>
      </c>
      <c r="C17" s="27">
        <v>164</v>
      </c>
      <c r="D17" s="27">
        <v>154.4</v>
      </c>
      <c r="E17" s="27">
        <v>130.3</v>
      </c>
      <c r="F17" s="27">
        <v>105.61</v>
      </c>
      <c r="G17" s="27">
        <v>102.61</v>
      </c>
      <c r="H17" s="27">
        <v>87.11</v>
      </c>
      <c r="I17" s="27">
        <v>84.11</v>
      </c>
      <c r="J17" s="28">
        <v>135.3</v>
      </c>
      <c r="K17" s="28">
        <v>122.44</v>
      </c>
      <c r="L17" s="28">
        <v>119.44</v>
      </c>
      <c r="M17" s="28">
        <v>104.92</v>
      </c>
      <c r="N17" s="28">
        <v>121.6</v>
      </c>
      <c r="O17" s="28">
        <v>96.58</v>
      </c>
      <c r="P17" s="28">
        <v>83.59</v>
      </c>
      <c r="Q17" s="28">
        <v>80.59</v>
      </c>
      <c r="R17" s="28">
        <v>72.56</v>
      </c>
      <c r="S17" s="28">
        <v>69.56</v>
      </c>
      <c r="T17" s="18">
        <v>78.37</v>
      </c>
    </row>
    <row r="18" spans="1:20" ht="12.75">
      <c r="A18" s="1">
        <f t="shared" si="0"/>
        <v>12</v>
      </c>
      <c r="B18" s="4" t="s">
        <v>350</v>
      </c>
      <c r="C18" s="27">
        <v>165.9</v>
      </c>
      <c r="D18" s="27">
        <v>155.9</v>
      </c>
      <c r="E18" s="27">
        <v>131.3</v>
      </c>
      <c r="F18" s="27">
        <v>106.63</v>
      </c>
      <c r="G18" s="27">
        <v>103.63</v>
      </c>
      <c r="H18" s="27">
        <v>87.99</v>
      </c>
      <c r="I18" s="27">
        <v>84.99</v>
      </c>
      <c r="J18" s="28">
        <v>136.3</v>
      </c>
      <c r="K18" s="28">
        <v>123.46</v>
      </c>
      <c r="L18" s="28">
        <v>120.46</v>
      </c>
      <c r="M18" s="28">
        <v>105.84</v>
      </c>
      <c r="N18" s="28">
        <v>122.4</v>
      </c>
      <c r="O18" s="28">
        <v>94.63</v>
      </c>
      <c r="P18" s="28">
        <v>81.59</v>
      </c>
      <c r="Q18" s="28">
        <v>78.59</v>
      </c>
      <c r="R18" s="28">
        <v>70.83</v>
      </c>
      <c r="S18" s="28">
        <v>67.83</v>
      </c>
      <c r="T18" s="9">
        <v>75.96</v>
      </c>
    </row>
    <row r="19" spans="1:20" ht="12.75">
      <c r="A19" s="1">
        <f t="shared" si="0"/>
        <v>13</v>
      </c>
      <c r="B19" s="4" t="s">
        <v>351</v>
      </c>
      <c r="C19" s="27">
        <v>165.9</v>
      </c>
      <c r="D19" s="27">
        <v>155.9</v>
      </c>
      <c r="E19" s="27">
        <v>131.3</v>
      </c>
      <c r="F19" s="27">
        <v>106.63</v>
      </c>
      <c r="G19" s="27">
        <v>103.63</v>
      </c>
      <c r="H19" s="27">
        <v>87.99</v>
      </c>
      <c r="I19" s="27">
        <v>84.99</v>
      </c>
      <c r="J19" s="28">
        <v>136.3</v>
      </c>
      <c r="K19" s="28">
        <v>123.46</v>
      </c>
      <c r="L19" s="28">
        <v>120.46</v>
      </c>
      <c r="M19" s="28">
        <v>105.84</v>
      </c>
      <c r="N19" s="28">
        <v>122.4</v>
      </c>
      <c r="O19" s="28">
        <v>94.63</v>
      </c>
      <c r="P19" s="28">
        <v>81.59</v>
      </c>
      <c r="Q19" s="28">
        <v>78.59</v>
      </c>
      <c r="R19" s="28">
        <v>70.83</v>
      </c>
      <c r="S19" s="28">
        <v>67.83</v>
      </c>
      <c r="T19" s="9">
        <v>75.96</v>
      </c>
    </row>
    <row r="20" spans="1:20" ht="12.75">
      <c r="A20" s="1">
        <f t="shared" si="0"/>
        <v>14</v>
      </c>
      <c r="B20" s="4" t="s">
        <v>352</v>
      </c>
      <c r="C20" s="27">
        <v>165.9</v>
      </c>
      <c r="D20" s="27">
        <v>155.9</v>
      </c>
      <c r="E20" s="27">
        <v>131.3</v>
      </c>
      <c r="F20" s="27">
        <v>106.63</v>
      </c>
      <c r="G20" s="27">
        <v>103.63</v>
      </c>
      <c r="H20" s="27">
        <v>87.99</v>
      </c>
      <c r="I20" s="27">
        <v>84.99</v>
      </c>
      <c r="J20" s="28">
        <v>136.3</v>
      </c>
      <c r="K20" s="28">
        <v>123.46</v>
      </c>
      <c r="L20" s="28">
        <v>120.46</v>
      </c>
      <c r="M20" s="28">
        <v>105.84</v>
      </c>
      <c r="N20" s="28">
        <v>122.4</v>
      </c>
      <c r="O20" s="28">
        <v>94.63</v>
      </c>
      <c r="P20" s="28">
        <v>81.59</v>
      </c>
      <c r="Q20" s="28">
        <v>78.59</v>
      </c>
      <c r="R20" s="28">
        <v>70.83</v>
      </c>
      <c r="S20" s="28">
        <v>67.83</v>
      </c>
      <c r="T20" s="9">
        <v>75.96</v>
      </c>
    </row>
    <row r="21" spans="1:20" ht="12.75">
      <c r="A21" s="1">
        <f t="shared" si="0"/>
        <v>15</v>
      </c>
      <c r="B21" s="4" t="s">
        <v>353</v>
      </c>
      <c r="C21" s="27">
        <v>165.9</v>
      </c>
      <c r="D21" s="27">
        <v>155.9</v>
      </c>
      <c r="E21" s="27">
        <v>131.3</v>
      </c>
      <c r="F21" s="27">
        <v>106.63</v>
      </c>
      <c r="G21" s="27">
        <v>103.63</v>
      </c>
      <c r="H21" s="27">
        <v>87.99</v>
      </c>
      <c r="I21" s="27">
        <v>84.99</v>
      </c>
      <c r="J21" s="28">
        <v>136.3</v>
      </c>
      <c r="K21" s="28">
        <v>123.46</v>
      </c>
      <c r="L21" s="28">
        <v>120.46</v>
      </c>
      <c r="M21" s="28">
        <v>105.84</v>
      </c>
      <c r="N21" s="28">
        <v>122.4</v>
      </c>
      <c r="O21" s="28">
        <v>94.63</v>
      </c>
      <c r="P21" s="28">
        <v>81.59</v>
      </c>
      <c r="Q21" s="28">
        <v>78.59</v>
      </c>
      <c r="R21" s="28">
        <v>70.83</v>
      </c>
      <c r="S21" s="28">
        <v>67.83</v>
      </c>
      <c r="T21" s="9">
        <v>75.96</v>
      </c>
    </row>
    <row r="22" spans="1:20" ht="12.75">
      <c r="A22" s="1">
        <f t="shared" si="0"/>
        <v>16</v>
      </c>
      <c r="B22" s="4" t="s">
        <v>354</v>
      </c>
      <c r="C22" s="27">
        <v>165.9</v>
      </c>
      <c r="D22" s="27">
        <v>155.9</v>
      </c>
      <c r="E22" s="27">
        <v>131.3</v>
      </c>
      <c r="F22" s="27">
        <v>106.63</v>
      </c>
      <c r="G22" s="27">
        <v>103.63</v>
      </c>
      <c r="H22" s="27">
        <v>87.99</v>
      </c>
      <c r="I22" s="27">
        <v>84.99</v>
      </c>
      <c r="J22" s="28">
        <v>136.3</v>
      </c>
      <c r="K22" s="28">
        <v>123.46</v>
      </c>
      <c r="L22" s="28">
        <v>120.46</v>
      </c>
      <c r="M22" s="28">
        <v>105.84</v>
      </c>
      <c r="N22" s="28">
        <v>122.4</v>
      </c>
      <c r="O22" s="28">
        <v>94.63</v>
      </c>
      <c r="P22" s="28">
        <v>81.59</v>
      </c>
      <c r="Q22" s="28">
        <v>78.59</v>
      </c>
      <c r="R22" s="28">
        <v>70.83</v>
      </c>
      <c r="S22" s="28">
        <v>67.83</v>
      </c>
      <c r="T22" s="9">
        <v>75.96</v>
      </c>
    </row>
    <row r="23" spans="1:20" ht="12.75">
      <c r="A23" s="1">
        <f t="shared" si="0"/>
        <v>17</v>
      </c>
      <c r="B23" s="4" t="s">
        <v>355</v>
      </c>
      <c r="C23" s="27">
        <v>165.9</v>
      </c>
      <c r="D23" s="27">
        <v>155.9</v>
      </c>
      <c r="E23" s="27">
        <v>131.3</v>
      </c>
      <c r="F23" s="27">
        <v>106.63</v>
      </c>
      <c r="G23" s="27">
        <v>103.63</v>
      </c>
      <c r="H23" s="27">
        <v>87.99</v>
      </c>
      <c r="I23" s="27">
        <v>84.99</v>
      </c>
      <c r="J23" s="28">
        <v>136.3</v>
      </c>
      <c r="K23" s="28">
        <v>123.46</v>
      </c>
      <c r="L23" s="28">
        <v>120.46</v>
      </c>
      <c r="M23" s="28">
        <v>105.84</v>
      </c>
      <c r="N23" s="28">
        <v>122.4</v>
      </c>
      <c r="O23" s="28">
        <v>94.63</v>
      </c>
      <c r="P23" s="28">
        <v>81.59</v>
      </c>
      <c r="Q23" s="28">
        <v>78.59</v>
      </c>
      <c r="R23" s="28">
        <v>70.83</v>
      </c>
      <c r="S23" s="28">
        <v>67.83</v>
      </c>
      <c r="T23" s="9">
        <v>75.96</v>
      </c>
    </row>
    <row r="24" spans="1:20" ht="12.75">
      <c r="A24" s="1">
        <f t="shared" si="0"/>
        <v>18</v>
      </c>
      <c r="B24" s="4" t="s">
        <v>356</v>
      </c>
      <c r="C24" s="27">
        <v>167.8</v>
      </c>
      <c r="D24" s="27">
        <v>158.3</v>
      </c>
      <c r="E24" s="27">
        <v>133.2</v>
      </c>
      <c r="F24" s="27">
        <v>108.24</v>
      </c>
      <c r="G24" s="27">
        <v>105.24</v>
      </c>
      <c r="H24" s="27">
        <v>89.38</v>
      </c>
      <c r="I24" s="27">
        <v>86.38</v>
      </c>
      <c r="J24" s="28">
        <v>138.2</v>
      </c>
      <c r="K24" s="28">
        <v>125.07</v>
      </c>
      <c r="L24" s="28">
        <v>122.07</v>
      </c>
      <c r="M24" s="28">
        <v>114</v>
      </c>
      <c r="N24" s="28">
        <v>130.3</v>
      </c>
      <c r="O24" s="28">
        <v>98.43</v>
      </c>
      <c r="P24" s="28">
        <v>85.39</v>
      </c>
      <c r="Q24" s="28">
        <v>82.39</v>
      </c>
      <c r="R24" s="28">
        <v>74.11</v>
      </c>
      <c r="S24" s="28">
        <v>71.11</v>
      </c>
      <c r="T24" s="9">
        <v>76.88</v>
      </c>
    </row>
    <row r="25" spans="1:20" ht="12.75">
      <c r="A25" s="1">
        <f t="shared" si="0"/>
        <v>19</v>
      </c>
      <c r="B25" s="4" t="s">
        <v>357</v>
      </c>
      <c r="C25" s="27">
        <v>167.8</v>
      </c>
      <c r="D25" s="27">
        <v>158.3</v>
      </c>
      <c r="E25" s="27">
        <v>133.2</v>
      </c>
      <c r="F25" s="27">
        <v>108.24</v>
      </c>
      <c r="G25" s="27">
        <v>105.24</v>
      </c>
      <c r="H25" s="27">
        <v>89.38</v>
      </c>
      <c r="I25" s="27">
        <v>86.38</v>
      </c>
      <c r="J25" s="28">
        <v>138.2</v>
      </c>
      <c r="K25" s="28">
        <v>125.07</v>
      </c>
      <c r="L25" s="28">
        <v>122.07</v>
      </c>
      <c r="M25" s="28">
        <v>114</v>
      </c>
      <c r="N25" s="28">
        <v>130.3</v>
      </c>
      <c r="O25" s="28">
        <v>98.43</v>
      </c>
      <c r="P25" s="28">
        <v>85.39</v>
      </c>
      <c r="Q25" s="28">
        <v>82.39</v>
      </c>
      <c r="R25" s="28">
        <v>74.11</v>
      </c>
      <c r="S25" s="28">
        <v>71.11</v>
      </c>
      <c r="T25" s="9">
        <v>76.88</v>
      </c>
    </row>
    <row r="26" spans="1:20" ht="12.75">
      <c r="A26" s="1">
        <f t="shared" si="0"/>
        <v>20</v>
      </c>
      <c r="B26" s="4" t="s">
        <v>358</v>
      </c>
      <c r="C26" s="27">
        <v>167.8</v>
      </c>
      <c r="D26" s="27">
        <v>158.3</v>
      </c>
      <c r="E26" s="27">
        <v>133.2</v>
      </c>
      <c r="F26" s="27">
        <v>108.24</v>
      </c>
      <c r="G26" s="27">
        <v>105.24</v>
      </c>
      <c r="H26" s="27">
        <v>89.38</v>
      </c>
      <c r="I26" s="27">
        <v>86.38</v>
      </c>
      <c r="J26" s="28">
        <v>138.2</v>
      </c>
      <c r="K26" s="28">
        <v>125.07</v>
      </c>
      <c r="L26" s="28">
        <v>122.07</v>
      </c>
      <c r="M26" s="28">
        <v>114</v>
      </c>
      <c r="N26" s="28">
        <v>130.3</v>
      </c>
      <c r="O26" s="28">
        <v>98.43</v>
      </c>
      <c r="P26" s="28">
        <v>85.39</v>
      </c>
      <c r="Q26" s="28">
        <v>82.39</v>
      </c>
      <c r="R26" s="28">
        <v>74.11</v>
      </c>
      <c r="S26" s="28">
        <v>71.11</v>
      </c>
      <c r="T26" s="9">
        <v>76.88</v>
      </c>
    </row>
    <row r="27" spans="1:20" ht="12.75">
      <c r="A27" s="1">
        <f t="shared" si="0"/>
        <v>21</v>
      </c>
      <c r="B27" s="4" t="s">
        <v>359</v>
      </c>
      <c r="C27" s="27">
        <v>164.6</v>
      </c>
      <c r="D27" s="27">
        <v>154.4</v>
      </c>
      <c r="E27" s="27">
        <v>130.7</v>
      </c>
      <c r="F27" s="27">
        <v>105.69</v>
      </c>
      <c r="G27" s="27">
        <v>102.69</v>
      </c>
      <c r="H27" s="27">
        <v>87.18</v>
      </c>
      <c r="I27" s="27">
        <v>84.18</v>
      </c>
      <c r="J27" s="28">
        <v>135.7</v>
      </c>
      <c r="K27" s="28">
        <v>122.52</v>
      </c>
      <c r="L27" s="28">
        <v>119.52</v>
      </c>
      <c r="M27" s="28">
        <v>108.09</v>
      </c>
      <c r="N27" s="28">
        <v>124.7</v>
      </c>
      <c r="O27" s="28">
        <v>95.22</v>
      </c>
      <c r="P27" s="28">
        <v>82.18</v>
      </c>
      <c r="Q27" s="28">
        <v>79.18</v>
      </c>
      <c r="R27" s="28">
        <v>71.34</v>
      </c>
      <c r="S27" s="28">
        <v>68.34</v>
      </c>
      <c r="T27" s="9">
        <v>75.75</v>
      </c>
    </row>
    <row r="28" spans="1:20" ht="12.75">
      <c r="A28" s="1">
        <f t="shared" si="0"/>
        <v>22</v>
      </c>
      <c r="B28" s="4" t="s">
        <v>360</v>
      </c>
      <c r="C28" s="27">
        <v>161.2</v>
      </c>
      <c r="D28" s="27">
        <v>150.9</v>
      </c>
      <c r="E28" s="27">
        <v>128.4</v>
      </c>
      <c r="F28" s="27">
        <v>103.37</v>
      </c>
      <c r="G28" s="27">
        <v>100.37</v>
      </c>
      <c r="H28" s="27">
        <v>85.18</v>
      </c>
      <c r="I28" s="27">
        <v>82.18</v>
      </c>
      <c r="J28" s="28">
        <v>133.4</v>
      </c>
      <c r="K28" s="28">
        <v>120.2</v>
      </c>
      <c r="L28" s="28">
        <v>117.2</v>
      </c>
      <c r="M28" s="28">
        <v>104.47</v>
      </c>
      <c r="N28" s="28">
        <v>121.2</v>
      </c>
      <c r="O28" s="28">
        <v>91.32</v>
      </c>
      <c r="P28" s="28">
        <v>78.28</v>
      </c>
      <c r="Q28" s="28">
        <v>75.28</v>
      </c>
      <c r="R28" s="28">
        <v>67.98</v>
      </c>
      <c r="S28" s="28">
        <v>64.98</v>
      </c>
      <c r="T28" s="9">
        <v>74.21</v>
      </c>
    </row>
    <row r="29" spans="1:20" ht="12.75">
      <c r="A29" s="1">
        <f t="shared" si="0"/>
        <v>23</v>
      </c>
      <c r="B29" s="4" t="s">
        <v>361</v>
      </c>
      <c r="C29" s="27">
        <v>161.2</v>
      </c>
      <c r="D29" s="27">
        <v>150.9</v>
      </c>
      <c r="E29" s="27">
        <v>128.4</v>
      </c>
      <c r="F29" s="27">
        <v>103.37</v>
      </c>
      <c r="G29" s="27">
        <v>100.37</v>
      </c>
      <c r="H29" s="27">
        <v>85.18</v>
      </c>
      <c r="I29" s="27">
        <v>82.18</v>
      </c>
      <c r="J29" s="28">
        <v>133.4</v>
      </c>
      <c r="K29" s="28">
        <v>120.2</v>
      </c>
      <c r="L29" s="28">
        <v>117.2</v>
      </c>
      <c r="M29" s="28">
        <v>104.47</v>
      </c>
      <c r="N29" s="28">
        <v>121.2</v>
      </c>
      <c r="O29" s="28">
        <v>91.32</v>
      </c>
      <c r="P29" s="28">
        <v>78.28</v>
      </c>
      <c r="Q29" s="28">
        <v>75.28</v>
      </c>
      <c r="R29" s="28">
        <v>67.98</v>
      </c>
      <c r="S29" s="28">
        <v>64.98</v>
      </c>
      <c r="T29" s="9">
        <v>74.21</v>
      </c>
    </row>
    <row r="30" spans="1:20" ht="12.75">
      <c r="A30" s="1">
        <f t="shared" si="0"/>
        <v>24</v>
      </c>
      <c r="B30" s="4" t="s">
        <v>362</v>
      </c>
      <c r="C30" s="27">
        <v>161.2</v>
      </c>
      <c r="D30" s="27">
        <v>150.9</v>
      </c>
      <c r="E30" s="27">
        <v>128.4</v>
      </c>
      <c r="F30" s="27">
        <v>103.37</v>
      </c>
      <c r="G30" s="27">
        <v>100.37</v>
      </c>
      <c r="H30" s="27">
        <v>85.18</v>
      </c>
      <c r="I30" s="27">
        <v>82.18</v>
      </c>
      <c r="J30" s="28">
        <v>133.4</v>
      </c>
      <c r="K30" s="28">
        <v>120.2</v>
      </c>
      <c r="L30" s="28">
        <v>117.2</v>
      </c>
      <c r="M30" s="28">
        <v>104.47</v>
      </c>
      <c r="N30" s="28">
        <v>121.2</v>
      </c>
      <c r="O30" s="28">
        <v>91.32</v>
      </c>
      <c r="P30" s="28">
        <v>78.28</v>
      </c>
      <c r="Q30" s="28">
        <v>75.28</v>
      </c>
      <c r="R30" s="28">
        <v>67.98</v>
      </c>
      <c r="S30" s="28">
        <v>64.98</v>
      </c>
      <c r="T30" s="9">
        <v>74.21</v>
      </c>
    </row>
    <row r="31" spans="1:20" ht="12.75">
      <c r="A31" s="1">
        <f t="shared" si="0"/>
        <v>25</v>
      </c>
      <c r="B31" s="4" t="s">
        <v>363</v>
      </c>
      <c r="C31" s="27">
        <v>162.9</v>
      </c>
      <c r="D31" s="27">
        <v>152.5</v>
      </c>
      <c r="E31" s="27">
        <v>130.4</v>
      </c>
      <c r="F31" s="27">
        <v>105.16</v>
      </c>
      <c r="G31" s="27">
        <v>102.16</v>
      </c>
      <c r="H31" s="27">
        <v>86.72</v>
      </c>
      <c r="I31" s="27">
        <v>83.72</v>
      </c>
      <c r="J31" s="28">
        <v>135.4</v>
      </c>
      <c r="K31" s="28">
        <v>121.99</v>
      </c>
      <c r="L31" s="28">
        <v>118.99</v>
      </c>
      <c r="M31" s="28">
        <v>105.49</v>
      </c>
      <c r="N31" s="28">
        <v>122.3</v>
      </c>
      <c r="O31" s="28">
        <v>91.95</v>
      </c>
      <c r="P31" s="28">
        <v>78.91</v>
      </c>
      <c r="Q31" s="28">
        <v>75.91</v>
      </c>
      <c r="R31" s="28">
        <v>68.52</v>
      </c>
      <c r="S31" s="28">
        <v>65.52</v>
      </c>
      <c r="T31" s="9">
        <v>74.21</v>
      </c>
    </row>
    <row r="32" spans="1:20" ht="12.75">
      <c r="A32" s="1">
        <f t="shared" si="0"/>
        <v>26</v>
      </c>
      <c r="B32" s="4" t="s">
        <v>364</v>
      </c>
      <c r="C32" s="27">
        <v>164</v>
      </c>
      <c r="D32" s="27">
        <v>153.6</v>
      </c>
      <c r="E32" s="27">
        <v>132.3</v>
      </c>
      <c r="F32" s="27">
        <v>106.9</v>
      </c>
      <c r="G32" s="27">
        <v>103.9</v>
      </c>
      <c r="H32" s="27">
        <v>88.22</v>
      </c>
      <c r="I32" s="27">
        <v>85.22</v>
      </c>
      <c r="J32" s="28">
        <v>137.3</v>
      </c>
      <c r="K32" s="28">
        <v>123.73</v>
      </c>
      <c r="L32" s="28">
        <v>120.73</v>
      </c>
      <c r="M32" s="28">
        <v>106.64</v>
      </c>
      <c r="N32" s="28">
        <v>123.5</v>
      </c>
      <c r="O32" s="28">
        <v>92.63</v>
      </c>
      <c r="P32" s="28">
        <v>79.59</v>
      </c>
      <c r="Q32" s="28">
        <v>76.59</v>
      </c>
      <c r="R32" s="28">
        <v>69.11</v>
      </c>
      <c r="S32" s="28">
        <v>66.11</v>
      </c>
      <c r="T32" s="9">
        <v>74.21</v>
      </c>
    </row>
    <row r="33" spans="1:20" ht="12.75">
      <c r="A33" s="1">
        <f t="shared" si="0"/>
        <v>27</v>
      </c>
      <c r="B33" s="4" t="s">
        <v>365</v>
      </c>
      <c r="C33" s="27">
        <v>164</v>
      </c>
      <c r="D33" s="27">
        <v>153.6</v>
      </c>
      <c r="E33" s="27">
        <v>130.7</v>
      </c>
      <c r="F33" s="27">
        <v>105.3</v>
      </c>
      <c r="G33" s="27">
        <v>102.3</v>
      </c>
      <c r="H33" s="27">
        <v>86.84</v>
      </c>
      <c r="I33" s="27">
        <v>83.84</v>
      </c>
      <c r="J33" s="28">
        <v>135.7</v>
      </c>
      <c r="K33" s="28">
        <v>122.13</v>
      </c>
      <c r="L33" s="28">
        <v>119.13</v>
      </c>
      <c r="M33" s="28">
        <v>105.06</v>
      </c>
      <c r="N33" s="28">
        <v>121.9</v>
      </c>
      <c r="O33" s="28">
        <v>92.63</v>
      </c>
      <c r="P33" s="28">
        <v>79.59</v>
      </c>
      <c r="Q33" s="28">
        <v>76.59</v>
      </c>
      <c r="R33" s="28">
        <v>69.11</v>
      </c>
      <c r="S33" s="28">
        <v>66.11</v>
      </c>
      <c r="T33" s="9">
        <v>74.21</v>
      </c>
    </row>
    <row r="34" spans="1:20" ht="12.75">
      <c r="A34" s="1">
        <f t="shared" si="0"/>
        <v>28</v>
      </c>
      <c r="B34" s="4" t="s">
        <v>366</v>
      </c>
      <c r="C34" s="27">
        <v>162.5</v>
      </c>
      <c r="D34" s="27">
        <v>152.1</v>
      </c>
      <c r="E34" s="27">
        <v>129.1</v>
      </c>
      <c r="F34" s="27">
        <v>103.7</v>
      </c>
      <c r="G34" s="27">
        <v>100.7</v>
      </c>
      <c r="H34" s="27">
        <v>85.46</v>
      </c>
      <c r="I34" s="27">
        <v>82.46</v>
      </c>
      <c r="J34" s="28">
        <v>134.1</v>
      </c>
      <c r="K34" s="28">
        <v>120.53</v>
      </c>
      <c r="L34" s="28">
        <v>117.53</v>
      </c>
      <c r="M34" s="28">
        <v>101.58</v>
      </c>
      <c r="N34" s="28">
        <v>118.7</v>
      </c>
      <c r="O34" s="28">
        <v>90.34</v>
      </c>
      <c r="P34" s="28">
        <v>77.27</v>
      </c>
      <c r="Q34" s="28">
        <v>74.27</v>
      </c>
      <c r="R34" s="28">
        <v>67.11</v>
      </c>
      <c r="S34" s="28">
        <v>64.11</v>
      </c>
      <c r="T34" s="9">
        <v>74.21</v>
      </c>
    </row>
    <row r="35" spans="1:20" ht="12.75">
      <c r="A35" s="1">
        <f t="shared" si="0"/>
        <v>29</v>
      </c>
      <c r="B35" s="4" t="s">
        <v>367</v>
      </c>
      <c r="C35" s="27">
        <v>163.5</v>
      </c>
      <c r="D35" s="27">
        <v>153.9</v>
      </c>
      <c r="E35" s="27">
        <v>130.1</v>
      </c>
      <c r="F35" s="27">
        <v>104.4</v>
      </c>
      <c r="G35" s="27">
        <v>101.4</v>
      </c>
      <c r="H35" s="27">
        <v>86.07</v>
      </c>
      <c r="I35" s="27">
        <v>83.07</v>
      </c>
      <c r="J35" s="28">
        <v>135.1</v>
      </c>
      <c r="K35" s="28">
        <v>121.23</v>
      </c>
      <c r="L35" s="28">
        <v>118.23</v>
      </c>
      <c r="M35" s="28">
        <v>104.98</v>
      </c>
      <c r="N35" s="28">
        <v>122.1</v>
      </c>
      <c r="O35" s="28">
        <v>93.41</v>
      </c>
      <c r="P35" s="28">
        <v>80.36</v>
      </c>
      <c r="Q35" s="28">
        <v>77.36</v>
      </c>
      <c r="R35" s="28">
        <v>69.77</v>
      </c>
      <c r="S35" s="28">
        <v>66.77</v>
      </c>
      <c r="T35" s="9">
        <v>74.74</v>
      </c>
    </row>
    <row r="36" spans="1:20" ht="12.75">
      <c r="A36" s="1">
        <f t="shared" si="0"/>
        <v>30</v>
      </c>
      <c r="B36" s="4" t="s">
        <v>368</v>
      </c>
      <c r="C36" s="27">
        <v>163.5</v>
      </c>
      <c r="D36" s="27">
        <v>153.9</v>
      </c>
      <c r="E36" s="27">
        <v>130.1</v>
      </c>
      <c r="F36" s="27">
        <v>104.4</v>
      </c>
      <c r="G36" s="27">
        <v>101.4</v>
      </c>
      <c r="H36" s="27">
        <v>86.07</v>
      </c>
      <c r="I36" s="27">
        <v>83.07</v>
      </c>
      <c r="J36" s="28">
        <v>135.1</v>
      </c>
      <c r="K36" s="28">
        <v>121.23</v>
      </c>
      <c r="L36" s="28">
        <v>118.23</v>
      </c>
      <c r="M36" s="28">
        <v>104.98</v>
      </c>
      <c r="N36" s="28">
        <v>122.1</v>
      </c>
      <c r="O36" s="28">
        <v>93.41</v>
      </c>
      <c r="P36" s="28">
        <v>80.36</v>
      </c>
      <c r="Q36" s="28">
        <v>77.36</v>
      </c>
      <c r="R36" s="28">
        <v>69.77</v>
      </c>
      <c r="S36" s="28">
        <v>66.77</v>
      </c>
      <c r="T36" s="9">
        <v>74.74</v>
      </c>
    </row>
    <row r="37" spans="1:20" ht="12.75">
      <c r="A37" s="1">
        <f t="shared" si="0"/>
        <v>31</v>
      </c>
      <c r="B37" s="4" t="s">
        <v>369</v>
      </c>
      <c r="C37" s="27">
        <v>163.5</v>
      </c>
      <c r="D37" s="27">
        <v>153.9</v>
      </c>
      <c r="E37" s="27">
        <v>130.1</v>
      </c>
      <c r="F37" s="27">
        <v>104.4</v>
      </c>
      <c r="G37" s="27">
        <v>101.4</v>
      </c>
      <c r="H37" s="27">
        <v>86.07</v>
      </c>
      <c r="I37" s="27">
        <v>83.07</v>
      </c>
      <c r="J37" s="28">
        <v>135.1</v>
      </c>
      <c r="K37" s="28">
        <v>121.23</v>
      </c>
      <c r="L37" s="28">
        <v>118.23</v>
      </c>
      <c r="M37" s="28">
        <v>104.98</v>
      </c>
      <c r="N37" s="28">
        <v>122.1</v>
      </c>
      <c r="O37" s="28">
        <v>93.41</v>
      </c>
      <c r="P37" s="28">
        <v>80.36</v>
      </c>
      <c r="Q37" s="28">
        <v>77.36</v>
      </c>
      <c r="R37" s="28">
        <v>69.77</v>
      </c>
      <c r="S37" s="28">
        <v>66.77</v>
      </c>
      <c r="T37" s="9">
        <v>74.74</v>
      </c>
    </row>
    <row r="38" spans="1:20" ht="12.75">
      <c r="A38" s="1">
        <f t="shared" si="0"/>
        <v>32</v>
      </c>
      <c r="B38" s="4" t="s">
        <v>370</v>
      </c>
      <c r="C38" s="27">
        <v>163.5</v>
      </c>
      <c r="D38" s="27">
        <v>153.9</v>
      </c>
      <c r="E38" s="27">
        <v>130.1</v>
      </c>
      <c r="F38" s="27">
        <v>104.4</v>
      </c>
      <c r="G38" s="27">
        <v>101.4</v>
      </c>
      <c r="H38" s="27">
        <v>86.07</v>
      </c>
      <c r="I38" s="27">
        <v>83.07</v>
      </c>
      <c r="J38" s="28">
        <v>135.1</v>
      </c>
      <c r="K38" s="28">
        <v>121.23</v>
      </c>
      <c r="L38" s="28">
        <v>118.23</v>
      </c>
      <c r="M38" s="28">
        <v>104.98</v>
      </c>
      <c r="N38" s="28">
        <v>122.1</v>
      </c>
      <c r="O38" s="28">
        <v>93.41</v>
      </c>
      <c r="P38" s="28">
        <v>80.36</v>
      </c>
      <c r="Q38" s="28">
        <v>77.36</v>
      </c>
      <c r="R38" s="28">
        <v>69.77</v>
      </c>
      <c r="S38" s="28">
        <v>66.77</v>
      </c>
      <c r="T38" s="9">
        <v>74.74</v>
      </c>
    </row>
    <row r="39" spans="1:20" ht="12.75">
      <c r="A39" s="1">
        <f t="shared" si="0"/>
        <v>33</v>
      </c>
      <c r="B39" s="4" t="s">
        <v>371</v>
      </c>
      <c r="C39" s="27">
        <v>163.5</v>
      </c>
      <c r="D39" s="27">
        <v>153.9</v>
      </c>
      <c r="E39" s="27">
        <v>130.1</v>
      </c>
      <c r="F39" s="27">
        <v>104.4</v>
      </c>
      <c r="G39" s="27">
        <v>101.4</v>
      </c>
      <c r="H39" s="27">
        <v>86.07</v>
      </c>
      <c r="I39" s="27">
        <v>83.07</v>
      </c>
      <c r="J39" s="28">
        <v>135.1</v>
      </c>
      <c r="K39" s="28">
        <v>121.23</v>
      </c>
      <c r="L39" s="28">
        <v>118.23</v>
      </c>
      <c r="M39" s="28">
        <v>104.98</v>
      </c>
      <c r="N39" s="28">
        <v>122.1</v>
      </c>
      <c r="O39" s="28">
        <v>93.41</v>
      </c>
      <c r="P39" s="28">
        <v>80.36</v>
      </c>
      <c r="Q39" s="28">
        <v>77.36</v>
      </c>
      <c r="R39" s="28">
        <v>69.77</v>
      </c>
      <c r="S39" s="28">
        <v>66.77</v>
      </c>
      <c r="T39" s="9">
        <v>74.74</v>
      </c>
    </row>
    <row r="40" spans="1:20" ht="12.75">
      <c r="A40" s="1">
        <f t="shared" si="0"/>
        <v>34</v>
      </c>
      <c r="B40" s="4" t="s">
        <v>372</v>
      </c>
      <c r="C40" s="27">
        <v>163.5</v>
      </c>
      <c r="D40" s="27">
        <v>153.9</v>
      </c>
      <c r="E40" s="27">
        <v>130.1</v>
      </c>
      <c r="F40" s="27">
        <v>104.4</v>
      </c>
      <c r="G40" s="27">
        <v>101.4</v>
      </c>
      <c r="H40" s="27">
        <v>86.07</v>
      </c>
      <c r="I40" s="27">
        <v>83.07</v>
      </c>
      <c r="J40" s="28">
        <v>135.1</v>
      </c>
      <c r="K40" s="28">
        <v>121.23</v>
      </c>
      <c r="L40" s="28">
        <v>118.23</v>
      </c>
      <c r="M40" s="28">
        <v>104.98</v>
      </c>
      <c r="N40" s="28">
        <v>122.1</v>
      </c>
      <c r="O40" s="28">
        <v>93.41</v>
      </c>
      <c r="P40" s="28">
        <v>80.36</v>
      </c>
      <c r="Q40" s="28">
        <v>77.36</v>
      </c>
      <c r="R40" s="28">
        <v>69.77</v>
      </c>
      <c r="S40" s="28">
        <v>66.77</v>
      </c>
      <c r="T40" s="9">
        <v>74.74</v>
      </c>
    </row>
    <row r="41" spans="1:20" ht="12.75">
      <c r="A41" s="1">
        <f t="shared" si="0"/>
        <v>35</v>
      </c>
      <c r="B41" s="4" t="s">
        <v>373</v>
      </c>
      <c r="C41" s="27">
        <v>159.2</v>
      </c>
      <c r="D41" s="27">
        <v>150.4</v>
      </c>
      <c r="E41" s="27">
        <v>130.1</v>
      </c>
      <c r="F41" s="27">
        <v>104.4</v>
      </c>
      <c r="G41" s="27">
        <v>101.4</v>
      </c>
      <c r="H41" s="27">
        <v>86.07</v>
      </c>
      <c r="I41" s="27">
        <v>83.07</v>
      </c>
      <c r="J41" s="28">
        <v>135.1</v>
      </c>
      <c r="K41" s="28">
        <v>121.23</v>
      </c>
      <c r="L41" s="28">
        <v>118.23</v>
      </c>
      <c r="M41" s="28">
        <v>104.98</v>
      </c>
      <c r="N41" s="28">
        <v>122.1</v>
      </c>
      <c r="O41" s="28">
        <v>91.8</v>
      </c>
      <c r="P41" s="28">
        <v>78.36</v>
      </c>
      <c r="Q41" s="28">
        <v>75.36</v>
      </c>
      <c r="R41" s="28">
        <v>68.05</v>
      </c>
      <c r="S41" s="28">
        <v>65.05</v>
      </c>
      <c r="T41" s="9">
        <v>76.89</v>
      </c>
    </row>
    <row r="42" spans="1:20" ht="12.75">
      <c r="A42" s="1">
        <f t="shared" si="0"/>
        <v>36</v>
      </c>
      <c r="B42" s="4" t="s">
        <v>374</v>
      </c>
      <c r="C42" s="27">
        <v>160.6</v>
      </c>
      <c r="D42" s="27">
        <v>150.9</v>
      </c>
      <c r="E42" s="27">
        <v>131.7</v>
      </c>
      <c r="F42" s="27">
        <v>104.94</v>
      </c>
      <c r="G42" s="27">
        <v>101.94</v>
      </c>
      <c r="H42" s="27">
        <v>86.53</v>
      </c>
      <c r="I42" s="27">
        <v>83.53</v>
      </c>
      <c r="J42" s="28">
        <v>137</v>
      </c>
      <c r="K42" s="28">
        <v>123.15</v>
      </c>
      <c r="L42" s="28">
        <v>120.145</v>
      </c>
      <c r="M42" s="28">
        <v>104.98</v>
      </c>
      <c r="N42" s="28">
        <v>122.1</v>
      </c>
      <c r="O42" s="28">
        <v>91.8</v>
      </c>
      <c r="P42" s="28">
        <v>78.36</v>
      </c>
      <c r="Q42" s="28">
        <v>75.36</v>
      </c>
      <c r="R42" s="28">
        <v>68.05</v>
      </c>
      <c r="S42" s="28">
        <v>65.05</v>
      </c>
      <c r="T42" s="9">
        <v>78.39</v>
      </c>
    </row>
    <row r="43" spans="1:20" ht="12.75">
      <c r="A43" s="1">
        <f t="shared" si="0"/>
        <v>37</v>
      </c>
      <c r="B43" s="4" t="s">
        <v>375</v>
      </c>
      <c r="C43" s="27">
        <v>161.1</v>
      </c>
      <c r="D43" s="27">
        <v>151.8</v>
      </c>
      <c r="E43" s="27">
        <v>132.8</v>
      </c>
      <c r="F43" s="27">
        <v>106.03</v>
      </c>
      <c r="G43" s="27">
        <v>103.03</v>
      </c>
      <c r="H43" s="27">
        <v>87.47</v>
      </c>
      <c r="I43" s="27">
        <v>84.47</v>
      </c>
      <c r="J43" s="28">
        <v>138.1</v>
      </c>
      <c r="K43" s="28">
        <v>124.24</v>
      </c>
      <c r="L43" s="28">
        <v>121.24</v>
      </c>
      <c r="M43" s="28">
        <v>106.57</v>
      </c>
      <c r="N43" s="28">
        <v>123.5</v>
      </c>
      <c r="O43" s="28">
        <v>93.31</v>
      </c>
      <c r="P43" s="28">
        <v>79.49</v>
      </c>
      <c r="Q43" s="28">
        <v>76.49</v>
      </c>
      <c r="R43" s="28">
        <v>69.02</v>
      </c>
      <c r="S43" s="28">
        <v>66.02</v>
      </c>
      <c r="T43" s="9">
        <v>78.39</v>
      </c>
    </row>
    <row r="44" spans="1:20" ht="12.75">
      <c r="A44" s="1">
        <f t="shared" si="0"/>
        <v>38</v>
      </c>
      <c r="B44" s="4" t="s">
        <v>376</v>
      </c>
      <c r="C44" s="27">
        <v>163.2</v>
      </c>
      <c r="D44" s="27">
        <v>154.6</v>
      </c>
      <c r="E44" s="27">
        <v>134</v>
      </c>
      <c r="F44" s="27">
        <v>107.18</v>
      </c>
      <c r="G44" s="27">
        <v>104.18</v>
      </c>
      <c r="H44" s="27">
        <v>88.46</v>
      </c>
      <c r="I44" s="27">
        <v>85.46</v>
      </c>
      <c r="J44" s="28">
        <v>139.3</v>
      </c>
      <c r="K44" s="28">
        <v>125.39</v>
      </c>
      <c r="L44" s="28">
        <v>122.39</v>
      </c>
      <c r="M44" s="28">
        <v>109.09</v>
      </c>
      <c r="N44" s="28">
        <v>126</v>
      </c>
      <c r="O44" s="28">
        <v>94.22</v>
      </c>
      <c r="P44" s="28">
        <v>80.39</v>
      </c>
      <c r="Q44" s="28">
        <v>77.39</v>
      </c>
      <c r="R44" s="28">
        <v>69.8</v>
      </c>
      <c r="S44" s="28">
        <v>66.8</v>
      </c>
      <c r="T44" s="9">
        <v>79.89</v>
      </c>
    </row>
    <row r="45" spans="1:20" ht="12.75">
      <c r="A45" s="1">
        <f t="shared" si="0"/>
        <v>39</v>
      </c>
      <c r="B45" s="4" t="s">
        <v>377</v>
      </c>
      <c r="C45" s="27">
        <v>163.2</v>
      </c>
      <c r="D45" s="27">
        <v>154.6</v>
      </c>
      <c r="E45" s="27">
        <v>135</v>
      </c>
      <c r="F45" s="27">
        <v>108.24</v>
      </c>
      <c r="G45" s="27">
        <v>105.24</v>
      </c>
      <c r="H45" s="27">
        <v>89.38</v>
      </c>
      <c r="I45" s="27">
        <v>86.38</v>
      </c>
      <c r="J45" s="28">
        <v>140.3</v>
      </c>
      <c r="K45" s="28">
        <v>126.45</v>
      </c>
      <c r="L45" s="28">
        <v>123.45</v>
      </c>
      <c r="M45" s="28">
        <v>109.09</v>
      </c>
      <c r="N45" s="28">
        <v>126</v>
      </c>
      <c r="O45" s="28">
        <v>94.22</v>
      </c>
      <c r="P45" s="28">
        <v>80.39</v>
      </c>
      <c r="Q45" s="28">
        <v>77.39</v>
      </c>
      <c r="R45" s="28">
        <v>69.8</v>
      </c>
      <c r="S45" s="28">
        <v>66.8</v>
      </c>
      <c r="T45" s="9">
        <v>79.89</v>
      </c>
    </row>
    <row r="46" spans="1:20" ht="12.75">
      <c r="A46" s="1">
        <f t="shared" si="0"/>
        <v>40</v>
      </c>
      <c r="B46" s="4" t="s">
        <v>378</v>
      </c>
      <c r="C46" s="27">
        <v>163.2</v>
      </c>
      <c r="D46" s="27">
        <v>154.6</v>
      </c>
      <c r="E46" s="27">
        <v>136.6</v>
      </c>
      <c r="F46" s="27">
        <v>109.84</v>
      </c>
      <c r="G46" s="27">
        <v>106.84</v>
      </c>
      <c r="H46" s="27">
        <v>90.76</v>
      </c>
      <c r="I46" s="27">
        <v>87.76</v>
      </c>
      <c r="J46" s="28">
        <v>141.9</v>
      </c>
      <c r="K46" s="28">
        <v>128.05</v>
      </c>
      <c r="L46" s="28">
        <v>125.05</v>
      </c>
      <c r="M46" s="28">
        <v>109.09</v>
      </c>
      <c r="N46" s="28">
        <v>126</v>
      </c>
      <c r="O46" s="28">
        <v>94.22</v>
      </c>
      <c r="P46" s="28">
        <v>80.39</v>
      </c>
      <c r="Q46" s="28">
        <v>77.39</v>
      </c>
      <c r="R46" s="28">
        <v>69.8</v>
      </c>
      <c r="S46" s="28">
        <v>66.8</v>
      </c>
      <c r="T46" s="9">
        <v>79.89</v>
      </c>
    </row>
    <row r="47" spans="1:20" ht="12.75">
      <c r="A47" s="1">
        <f t="shared" si="0"/>
        <v>41</v>
      </c>
      <c r="B47" s="4" t="s">
        <v>379</v>
      </c>
      <c r="C47" s="27">
        <v>165.8</v>
      </c>
      <c r="D47" s="27">
        <v>156.2</v>
      </c>
      <c r="E47" s="27">
        <v>138.6</v>
      </c>
      <c r="F47" s="27">
        <v>111.8</v>
      </c>
      <c r="G47" s="27">
        <v>108.8</v>
      </c>
      <c r="H47" s="27">
        <v>92.45</v>
      </c>
      <c r="I47" s="27">
        <v>89.45</v>
      </c>
      <c r="J47" s="28">
        <v>143.9</v>
      </c>
      <c r="K47" s="28">
        <v>130.5</v>
      </c>
      <c r="L47" s="28">
        <v>127.05</v>
      </c>
      <c r="M47" s="28">
        <v>111.29</v>
      </c>
      <c r="N47" s="28">
        <v>128.1</v>
      </c>
      <c r="O47" s="28">
        <v>96.08</v>
      </c>
      <c r="P47" s="28">
        <v>82.26</v>
      </c>
      <c r="Q47" s="28">
        <v>79.26</v>
      </c>
      <c r="R47" s="28">
        <v>71.41</v>
      </c>
      <c r="S47" s="28">
        <v>68.41</v>
      </c>
      <c r="T47" s="9">
        <v>82.79</v>
      </c>
    </row>
    <row r="48" spans="1:20" ht="12.75">
      <c r="A48" s="1">
        <f t="shared" si="0"/>
        <v>42</v>
      </c>
      <c r="B48" s="4" t="s">
        <v>380</v>
      </c>
      <c r="C48" s="27">
        <v>168.3</v>
      </c>
      <c r="D48" s="27">
        <v>158</v>
      </c>
      <c r="E48" s="27">
        <v>140.41</v>
      </c>
      <c r="F48" s="27">
        <v>113.37</v>
      </c>
      <c r="G48" s="27">
        <v>110.37</v>
      </c>
      <c r="H48" s="27">
        <v>93.8</v>
      </c>
      <c r="I48" s="27">
        <v>90.8</v>
      </c>
      <c r="J48" s="28">
        <v>145.7</v>
      </c>
      <c r="K48" s="28">
        <v>131.72</v>
      </c>
      <c r="L48" s="28">
        <v>128.72</v>
      </c>
      <c r="M48" s="28">
        <v>113.33</v>
      </c>
      <c r="N48" s="28">
        <v>130.1</v>
      </c>
      <c r="O48" s="28">
        <v>97.79</v>
      </c>
      <c r="P48" s="28">
        <v>83.95</v>
      </c>
      <c r="Q48" s="28">
        <v>80.95</v>
      </c>
      <c r="R48" s="28">
        <v>72.87</v>
      </c>
      <c r="S48" s="28">
        <v>69.87</v>
      </c>
      <c r="T48" s="9">
        <v>82.79</v>
      </c>
    </row>
    <row r="49" spans="1:20" ht="12.75">
      <c r="A49" s="1">
        <f t="shared" si="0"/>
        <v>43</v>
      </c>
      <c r="B49" s="4" t="s">
        <v>381</v>
      </c>
      <c r="C49" s="27">
        <v>168.3</v>
      </c>
      <c r="D49" s="27">
        <v>158</v>
      </c>
      <c r="E49" s="27">
        <v>140.41</v>
      </c>
      <c r="F49" s="27">
        <v>113.37</v>
      </c>
      <c r="G49" s="27">
        <v>110.37</v>
      </c>
      <c r="H49" s="27">
        <v>93.8</v>
      </c>
      <c r="I49" s="27">
        <v>90.8</v>
      </c>
      <c r="J49" s="28">
        <v>145.7</v>
      </c>
      <c r="K49" s="28">
        <v>131.72</v>
      </c>
      <c r="L49" s="28">
        <v>128.72</v>
      </c>
      <c r="M49" s="28">
        <v>113.33</v>
      </c>
      <c r="N49" s="28">
        <v>130.1</v>
      </c>
      <c r="O49" s="28">
        <v>97.79</v>
      </c>
      <c r="P49" s="28">
        <v>83.95</v>
      </c>
      <c r="Q49" s="28">
        <v>80.95</v>
      </c>
      <c r="R49" s="28">
        <v>72.87</v>
      </c>
      <c r="S49" s="28">
        <v>69.87</v>
      </c>
      <c r="T49" s="9">
        <v>82.79</v>
      </c>
    </row>
    <row r="50" spans="1:20" ht="12.75">
      <c r="A50" s="1">
        <f t="shared" si="0"/>
        <v>44</v>
      </c>
      <c r="B50" s="4" t="s">
        <v>382</v>
      </c>
      <c r="C50" s="27">
        <v>168.3</v>
      </c>
      <c r="D50" s="27">
        <v>158</v>
      </c>
      <c r="E50" s="27">
        <v>140.41</v>
      </c>
      <c r="F50" s="27">
        <v>113.37</v>
      </c>
      <c r="G50" s="27">
        <v>110.37</v>
      </c>
      <c r="H50" s="27">
        <v>93.8</v>
      </c>
      <c r="I50" s="27">
        <v>90.8</v>
      </c>
      <c r="J50" s="28">
        <v>145.7</v>
      </c>
      <c r="K50" s="28">
        <v>131.72</v>
      </c>
      <c r="L50" s="28">
        <v>128.72</v>
      </c>
      <c r="M50" s="28">
        <v>113.33</v>
      </c>
      <c r="N50" s="28">
        <v>130.1</v>
      </c>
      <c r="O50" s="28">
        <v>97.79</v>
      </c>
      <c r="P50" s="28">
        <v>83.95</v>
      </c>
      <c r="Q50" s="28">
        <v>80.95</v>
      </c>
      <c r="R50" s="28">
        <v>72.87</v>
      </c>
      <c r="S50" s="28">
        <v>69.87</v>
      </c>
      <c r="T50" s="9">
        <v>82.79</v>
      </c>
    </row>
    <row r="51" spans="1:20" ht="12.75">
      <c r="A51" s="1">
        <f t="shared" si="0"/>
        <v>45</v>
      </c>
      <c r="B51" s="4" t="s">
        <v>383</v>
      </c>
      <c r="C51" s="27">
        <v>168.3</v>
      </c>
      <c r="D51" s="27">
        <v>158</v>
      </c>
      <c r="E51" s="27">
        <v>141.9</v>
      </c>
      <c r="F51" s="27">
        <v>114.87</v>
      </c>
      <c r="G51" s="27">
        <v>111.87</v>
      </c>
      <c r="H51" s="27">
        <v>95.09</v>
      </c>
      <c r="I51" s="27">
        <v>92.09</v>
      </c>
      <c r="J51" s="28">
        <v>147.9</v>
      </c>
      <c r="K51" s="28">
        <v>133.92</v>
      </c>
      <c r="L51" s="28">
        <v>130.92</v>
      </c>
      <c r="M51" s="28">
        <v>115.62</v>
      </c>
      <c r="N51" s="28">
        <v>133.5</v>
      </c>
      <c r="O51" s="28">
        <v>101.49</v>
      </c>
      <c r="P51" s="28">
        <v>87.67</v>
      </c>
      <c r="Q51" s="28">
        <v>84.67</v>
      </c>
      <c r="R51" s="28">
        <v>76.07</v>
      </c>
      <c r="S51" s="28">
        <v>73.07</v>
      </c>
      <c r="T51" s="9">
        <v>85.79</v>
      </c>
    </row>
    <row r="52" spans="1:20" ht="12.75">
      <c r="A52" s="1">
        <f t="shared" si="0"/>
        <v>46</v>
      </c>
      <c r="B52" s="4" t="s">
        <v>384</v>
      </c>
      <c r="C52" s="27">
        <v>170.8</v>
      </c>
      <c r="D52" s="27">
        <v>160.5</v>
      </c>
      <c r="E52" s="27">
        <v>143.9</v>
      </c>
      <c r="F52" s="27">
        <v>116.86</v>
      </c>
      <c r="G52" s="27">
        <v>113.86</v>
      </c>
      <c r="H52" s="27">
        <v>96.81</v>
      </c>
      <c r="I52" s="27">
        <v>93.81</v>
      </c>
      <c r="J52" s="28">
        <v>149.9</v>
      </c>
      <c r="K52" s="28">
        <v>135.92</v>
      </c>
      <c r="L52" s="28">
        <v>132.92</v>
      </c>
      <c r="M52" s="28">
        <v>118.02</v>
      </c>
      <c r="N52" s="28">
        <v>135.9</v>
      </c>
      <c r="O52" s="28">
        <v>104.54</v>
      </c>
      <c r="P52" s="28">
        <v>90.7</v>
      </c>
      <c r="Q52" s="28">
        <v>87.7</v>
      </c>
      <c r="R52" s="28">
        <v>78.69</v>
      </c>
      <c r="S52" s="28">
        <v>75.69</v>
      </c>
      <c r="T52" s="9">
        <v>87.79</v>
      </c>
    </row>
    <row r="53" spans="1:20" ht="12.75">
      <c r="A53" s="1">
        <f t="shared" si="0"/>
        <v>47</v>
      </c>
      <c r="B53" s="4" t="s">
        <v>385</v>
      </c>
      <c r="C53" s="27">
        <v>170.8</v>
      </c>
      <c r="D53" s="27">
        <v>160.5</v>
      </c>
      <c r="E53" s="27">
        <v>143.9</v>
      </c>
      <c r="F53" s="27">
        <v>116.86</v>
      </c>
      <c r="G53" s="27">
        <v>113.86</v>
      </c>
      <c r="H53" s="27">
        <v>96.81</v>
      </c>
      <c r="I53" s="27">
        <v>93.81</v>
      </c>
      <c r="J53" s="28">
        <v>149.9</v>
      </c>
      <c r="K53" s="28">
        <v>135.92</v>
      </c>
      <c r="L53" s="28">
        <v>132.92</v>
      </c>
      <c r="M53" s="28">
        <v>118.02</v>
      </c>
      <c r="N53" s="28">
        <v>135.9</v>
      </c>
      <c r="O53" s="28">
        <v>104.54</v>
      </c>
      <c r="P53" s="28">
        <v>90.7</v>
      </c>
      <c r="Q53" s="28">
        <v>87.7</v>
      </c>
      <c r="R53" s="28">
        <v>78.69</v>
      </c>
      <c r="S53" s="28">
        <v>75.69</v>
      </c>
      <c r="T53" s="9">
        <v>87.79</v>
      </c>
    </row>
    <row r="54" spans="1:20" ht="12.75">
      <c r="A54" s="1">
        <f t="shared" si="0"/>
        <v>48</v>
      </c>
      <c r="B54" s="4" t="s">
        <v>386</v>
      </c>
      <c r="C54" s="27">
        <v>170.8</v>
      </c>
      <c r="D54" s="27">
        <v>160.5</v>
      </c>
      <c r="E54" s="27">
        <v>143.9</v>
      </c>
      <c r="F54" s="27">
        <v>116.86</v>
      </c>
      <c r="G54" s="27">
        <v>113.86</v>
      </c>
      <c r="H54" s="27">
        <v>96.81</v>
      </c>
      <c r="I54" s="27">
        <v>93.81</v>
      </c>
      <c r="J54" s="28">
        <v>149.9</v>
      </c>
      <c r="K54" s="28">
        <v>135.92</v>
      </c>
      <c r="L54" s="28">
        <v>132.92</v>
      </c>
      <c r="M54" s="28">
        <v>118.02</v>
      </c>
      <c r="N54" s="28">
        <v>135.9</v>
      </c>
      <c r="O54" s="28">
        <v>104.54</v>
      </c>
      <c r="P54" s="28">
        <v>90.7</v>
      </c>
      <c r="Q54" s="28">
        <v>87.7</v>
      </c>
      <c r="R54" s="28">
        <v>78.69</v>
      </c>
      <c r="S54" s="28">
        <v>75.69</v>
      </c>
      <c r="T54" s="9">
        <v>87.79</v>
      </c>
    </row>
    <row r="55" spans="1:20" ht="12.75">
      <c r="A55" s="1">
        <f t="shared" si="0"/>
        <v>49</v>
      </c>
      <c r="B55" s="4" t="s">
        <v>387</v>
      </c>
      <c r="C55" s="27">
        <v>170.8</v>
      </c>
      <c r="D55" s="27">
        <v>160.5</v>
      </c>
      <c r="E55" s="27">
        <v>143.9</v>
      </c>
      <c r="F55" s="27">
        <v>116.86</v>
      </c>
      <c r="G55" s="27">
        <v>113.86</v>
      </c>
      <c r="H55" s="27">
        <v>96.81</v>
      </c>
      <c r="I55" s="27">
        <v>93.81</v>
      </c>
      <c r="J55" s="28">
        <v>149.9</v>
      </c>
      <c r="K55" s="28">
        <v>135.92</v>
      </c>
      <c r="L55" s="28">
        <v>132.92</v>
      </c>
      <c r="M55" s="28">
        <v>118.02</v>
      </c>
      <c r="N55" s="28">
        <v>135.9</v>
      </c>
      <c r="O55" s="28">
        <v>104.54</v>
      </c>
      <c r="P55" s="28">
        <v>90.7</v>
      </c>
      <c r="Q55" s="28">
        <v>87.7</v>
      </c>
      <c r="R55" s="28">
        <v>78.69</v>
      </c>
      <c r="S55" s="28">
        <v>75.69</v>
      </c>
      <c r="T55" s="9">
        <v>87.79</v>
      </c>
    </row>
    <row r="56" spans="1:20" ht="12.75">
      <c r="A56" s="1">
        <f t="shared" si="0"/>
        <v>50</v>
      </c>
      <c r="B56" s="4" t="s">
        <v>388</v>
      </c>
      <c r="C56" s="27">
        <v>170.8</v>
      </c>
      <c r="D56" s="27">
        <v>160.5</v>
      </c>
      <c r="E56" s="27">
        <v>143.9</v>
      </c>
      <c r="F56" s="27">
        <v>116.86</v>
      </c>
      <c r="G56" s="27">
        <v>113.86</v>
      </c>
      <c r="H56" s="27">
        <v>96.81</v>
      </c>
      <c r="I56" s="27">
        <v>93.81</v>
      </c>
      <c r="J56" s="28">
        <v>149.9</v>
      </c>
      <c r="K56" s="28">
        <v>135.92</v>
      </c>
      <c r="L56" s="28">
        <v>132.92</v>
      </c>
      <c r="M56" s="28">
        <v>118.02</v>
      </c>
      <c r="N56" s="28">
        <v>135.9</v>
      </c>
      <c r="O56" s="28">
        <v>104.54</v>
      </c>
      <c r="P56" s="28">
        <v>90.7</v>
      </c>
      <c r="Q56" s="28">
        <v>87.7</v>
      </c>
      <c r="R56" s="28">
        <v>78.69</v>
      </c>
      <c r="S56" s="28">
        <v>75.69</v>
      </c>
      <c r="T56" s="9">
        <v>87.79</v>
      </c>
    </row>
    <row r="57" spans="1:20" ht="12.75">
      <c r="A57" s="1">
        <f t="shared" si="0"/>
        <v>51</v>
      </c>
      <c r="B57" s="4" t="s">
        <v>389</v>
      </c>
      <c r="C57" s="27">
        <v>170.8</v>
      </c>
      <c r="D57" s="27">
        <v>160.5</v>
      </c>
      <c r="E57" s="27">
        <v>143.9</v>
      </c>
      <c r="F57" s="27">
        <v>116.86</v>
      </c>
      <c r="G57" s="27">
        <v>113.86</v>
      </c>
      <c r="H57" s="27">
        <v>96.81</v>
      </c>
      <c r="I57" s="27">
        <v>93.81</v>
      </c>
      <c r="J57" s="28">
        <v>149.9</v>
      </c>
      <c r="K57" s="28">
        <v>135.92</v>
      </c>
      <c r="L57" s="28">
        <v>132.92</v>
      </c>
      <c r="M57" s="28">
        <v>118.02</v>
      </c>
      <c r="N57" s="28">
        <v>135.9</v>
      </c>
      <c r="O57" s="28">
        <v>104.54</v>
      </c>
      <c r="P57" s="28">
        <v>90.7</v>
      </c>
      <c r="Q57" s="28">
        <v>87.7</v>
      </c>
      <c r="R57" s="28">
        <v>78.69</v>
      </c>
      <c r="S57" s="28">
        <v>75.69</v>
      </c>
      <c r="T57" s="9">
        <v>87.79</v>
      </c>
    </row>
    <row r="58" spans="1:20" ht="12.75">
      <c r="A58" s="1">
        <f t="shared" si="0"/>
        <v>52</v>
      </c>
      <c r="B58" s="4" t="s">
        <v>390</v>
      </c>
      <c r="C58" s="27">
        <v>170.8</v>
      </c>
      <c r="D58" s="27">
        <v>160.5</v>
      </c>
      <c r="E58" s="27">
        <v>143.9</v>
      </c>
      <c r="F58" s="27">
        <v>116.86</v>
      </c>
      <c r="G58" s="27">
        <v>113.86</v>
      </c>
      <c r="H58" s="27">
        <v>96.81</v>
      </c>
      <c r="I58" s="27">
        <v>93.81</v>
      </c>
      <c r="J58" s="28">
        <v>149.9</v>
      </c>
      <c r="K58" s="28">
        <v>135.92</v>
      </c>
      <c r="L58" s="28">
        <v>132.92</v>
      </c>
      <c r="M58" s="28">
        <v>118.02</v>
      </c>
      <c r="N58" s="28">
        <v>135.9</v>
      </c>
      <c r="O58" s="28">
        <v>104.54</v>
      </c>
      <c r="P58" s="28">
        <v>90.7</v>
      </c>
      <c r="Q58" s="28">
        <v>87.7</v>
      </c>
      <c r="R58" s="28">
        <v>78.69</v>
      </c>
      <c r="S58" s="28">
        <v>75.69</v>
      </c>
      <c r="T58" s="12">
        <v>87.79</v>
      </c>
    </row>
    <row r="59" spans="2:20" ht="13.5" thickBot="1">
      <c r="B59" s="2" t="s">
        <v>65</v>
      </c>
      <c r="C59" s="16">
        <f aca="true" t="shared" si="1" ref="C59:H59">SUM(C7:C58)/52</f>
        <v>164.3576923076923</v>
      </c>
      <c r="D59" s="16">
        <f t="shared" si="1"/>
        <v>154.60576923076923</v>
      </c>
      <c r="E59" s="16">
        <f t="shared" si="1"/>
        <v>133.28519230769228</v>
      </c>
      <c r="F59" s="16">
        <f t="shared" si="1"/>
        <v>107.61673076923074</v>
      </c>
      <c r="G59" s="16">
        <f t="shared" si="1"/>
        <v>104.61673076923073</v>
      </c>
      <c r="H59" s="16">
        <f t="shared" si="1"/>
        <v>88.84057692307701</v>
      </c>
      <c r="I59" s="16">
        <f aca="true" t="shared" si="2" ref="I59:S59">SUM(I7:I58)/52</f>
        <v>85.840576923077</v>
      </c>
      <c r="J59" s="16">
        <f t="shared" si="2"/>
        <v>138.54807692307688</v>
      </c>
      <c r="K59" s="16">
        <f t="shared" si="2"/>
        <v>125.04596153846154</v>
      </c>
      <c r="L59" s="16">
        <f t="shared" si="2"/>
        <v>122.03721153846158</v>
      </c>
      <c r="M59" s="16">
        <f t="shared" si="2"/>
        <v>108.08480769230772</v>
      </c>
      <c r="N59" s="16">
        <f t="shared" si="2"/>
        <v>125.11730769230768</v>
      </c>
      <c r="O59" s="16">
        <f t="shared" si="2"/>
        <v>96.14730769230769</v>
      </c>
      <c r="P59" s="16">
        <f t="shared" si="2"/>
        <v>82.85096153846152</v>
      </c>
      <c r="Q59" s="16">
        <f t="shared" si="2"/>
        <v>79.85096153846152</v>
      </c>
      <c r="R59" s="16">
        <f t="shared" si="2"/>
        <v>71.9198076923077</v>
      </c>
      <c r="S59" s="16">
        <f t="shared" si="2"/>
        <v>68.97711538461539</v>
      </c>
      <c r="T59" s="16">
        <f>SUM(T7:T58)/52</f>
        <v>79.1009615384615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3.140625" style="0" customWidth="1"/>
    <col min="2" max="2" width="24.421875" style="0" customWidth="1"/>
    <col min="3" max="3" width="9.00390625" style="0" customWidth="1"/>
    <col min="4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12" width="8.140625" style="0" bestFit="1" customWidth="1"/>
    <col min="13" max="13" width="6.57421875" style="0" bestFit="1" customWidth="1"/>
    <col min="14" max="14" width="8.7109375" style="0" bestFit="1" customWidth="1"/>
    <col min="15" max="15" width="6.7109375" style="0" customWidth="1"/>
    <col min="16" max="16" width="8.421875" style="0" customWidth="1"/>
    <col min="17" max="17" width="8.28125" style="0" customWidth="1"/>
    <col min="18" max="18" width="6.7109375" style="0" customWidth="1"/>
    <col min="19" max="19" width="6.57421875" style="0" customWidth="1"/>
    <col min="20" max="20" width="6.57421875" style="0" bestFit="1" customWidth="1"/>
  </cols>
  <sheetData>
    <row r="1" spans="1:20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>
      <c r="A3" s="132" t="s">
        <v>713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ht="12.75">
      <c r="B5" s="14" t="s">
        <v>290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</row>
    <row r="6" spans="2:20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10</v>
      </c>
      <c r="N6" s="15" t="s">
        <v>19</v>
      </c>
      <c r="O6" s="15" t="s">
        <v>296</v>
      </c>
      <c r="P6" s="15" t="s">
        <v>12</v>
      </c>
      <c r="Q6" s="15" t="s">
        <v>13</v>
      </c>
      <c r="R6" s="15" t="s">
        <v>297</v>
      </c>
      <c r="S6" s="15" t="s">
        <v>15</v>
      </c>
      <c r="T6" s="37" t="s">
        <v>75</v>
      </c>
    </row>
    <row r="7" spans="1:20" ht="12.75">
      <c r="A7" s="1">
        <v>1</v>
      </c>
      <c r="B7" s="4" t="s">
        <v>298</v>
      </c>
      <c r="C7" s="8">
        <v>172.6</v>
      </c>
      <c r="D7" s="8">
        <v>161.9</v>
      </c>
      <c r="E7" s="8">
        <v>145.3</v>
      </c>
      <c r="F7" s="8">
        <v>118.26</v>
      </c>
      <c r="G7" s="8">
        <v>115.26</v>
      </c>
      <c r="H7" s="8">
        <v>98.02</v>
      </c>
      <c r="I7" s="8">
        <v>95.02</v>
      </c>
      <c r="J7" s="8">
        <v>151.6</v>
      </c>
      <c r="K7" s="8">
        <v>137.62</v>
      </c>
      <c r="L7" s="8">
        <v>134.62</v>
      </c>
      <c r="M7" s="8">
        <v>119.92</v>
      </c>
      <c r="N7" s="8">
        <v>137.8</v>
      </c>
      <c r="O7" s="8">
        <v>106.2</v>
      </c>
      <c r="P7" s="8">
        <v>92.37</v>
      </c>
      <c r="Q7" s="8">
        <v>89.37</v>
      </c>
      <c r="R7" s="8">
        <v>80.13</v>
      </c>
      <c r="S7" s="8">
        <v>77.13</v>
      </c>
      <c r="T7" s="6">
        <v>89</v>
      </c>
    </row>
    <row r="8" spans="1:20" ht="12.75">
      <c r="A8" s="1">
        <f>A7+1</f>
        <v>2</v>
      </c>
      <c r="B8" s="4" t="s">
        <v>298</v>
      </c>
      <c r="C8" s="8">
        <v>176.8</v>
      </c>
      <c r="D8" s="8">
        <v>167.1</v>
      </c>
      <c r="E8" s="8">
        <v>150</v>
      </c>
      <c r="F8" s="8">
        <v>122.46</v>
      </c>
      <c r="G8" s="8">
        <v>119.46</v>
      </c>
      <c r="H8" s="8">
        <v>101.64</v>
      </c>
      <c r="I8" s="8">
        <v>98.64</v>
      </c>
      <c r="J8" s="8">
        <v>155.8</v>
      </c>
      <c r="K8" s="8">
        <v>141.82</v>
      </c>
      <c r="L8" s="8">
        <v>138.82</v>
      </c>
      <c r="M8" s="8">
        <v>123.29</v>
      </c>
      <c r="N8" s="8">
        <v>141.1</v>
      </c>
      <c r="O8" s="8">
        <v>108.02</v>
      </c>
      <c r="P8" s="8">
        <v>94.18</v>
      </c>
      <c r="Q8" s="8">
        <v>91.18</v>
      </c>
      <c r="R8" s="8">
        <v>81.69</v>
      </c>
      <c r="S8" s="8">
        <v>78.69</v>
      </c>
      <c r="T8" s="9">
        <v>91</v>
      </c>
    </row>
    <row r="9" spans="1:20" ht="12.75">
      <c r="A9" s="1">
        <f>A8+1</f>
        <v>3</v>
      </c>
      <c r="B9" s="4" t="s">
        <v>299</v>
      </c>
      <c r="C9" s="8">
        <v>180.1</v>
      </c>
      <c r="D9" s="8">
        <v>170.3</v>
      </c>
      <c r="E9" s="8">
        <v>154</v>
      </c>
      <c r="F9" s="8">
        <v>126.87</v>
      </c>
      <c r="G9" s="8">
        <v>123.87</v>
      </c>
      <c r="H9" s="8">
        <v>105.44</v>
      </c>
      <c r="I9" s="8">
        <v>102.44</v>
      </c>
      <c r="J9" s="8">
        <v>159.6</v>
      </c>
      <c r="K9" s="8">
        <v>145.66</v>
      </c>
      <c r="L9" s="8">
        <v>142.66</v>
      </c>
      <c r="M9" s="8">
        <v>127.27</v>
      </c>
      <c r="N9" s="8">
        <v>145.1</v>
      </c>
      <c r="O9" s="8">
        <v>109.29</v>
      </c>
      <c r="P9" s="8">
        <v>95.46</v>
      </c>
      <c r="Q9" s="8">
        <v>92.46</v>
      </c>
      <c r="R9" s="8">
        <v>82.79</v>
      </c>
      <c r="S9" s="8">
        <v>79.79</v>
      </c>
      <c r="T9" s="9">
        <v>92.52</v>
      </c>
    </row>
    <row r="10" spans="1:20" ht="12.75">
      <c r="A10" s="1">
        <f aca="true" t="shared" si="0" ref="A10:A58">A9+1</f>
        <v>4</v>
      </c>
      <c r="B10" s="4" t="s">
        <v>300</v>
      </c>
      <c r="C10" s="8">
        <v>182.9</v>
      </c>
      <c r="D10" s="8">
        <v>172.8</v>
      </c>
      <c r="E10" s="8">
        <v>157</v>
      </c>
      <c r="F10" s="8">
        <v>130.07</v>
      </c>
      <c r="G10" s="8">
        <v>127.07</v>
      </c>
      <c r="H10" s="8">
        <v>108.2</v>
      </c>
      <c r="I10" s="8">
        <v>105.2</v>
      </c>
      <c r="J10" s="8">
        <v>162.8</v>
      </c>
      <c r="K10" s="8">
        <v>148.86</v>
      </c>
      <c r="L10" s="8">
        <v>145.86</v>
      </c>
      <c r="M10" s="8">
        <v>130.44</v>
      </c>
      <c r="N10" s="8">
        <v>148.3</v>
      </c>
      <c r="O10" s="8">
        <v>109.29</v>
      </c>
      <c r="P10" s="8">
        <v>95.46</v>
      </c>
      <c r="Q10" s="8">
        <v>92.46</v>
      </c>
      <c r="R10" s="8">
        <v>82.79</v>
      </c>
      <c r="S10" s="8">
        <v>79.79</v>
      </c>
      <c r="T10" s="9">
        <v>93.8</v>
      </c>
    </row>
    <row r="11" spans="1:20" ht="12.75">
      <c r="A11" s="1">
        <f t="shared" si="0"/>
        <v>5</v>
      </c>
      <c r="B11" s="4" t="s">
        <v>301</v>
      </c>
      <c r="C11" s="8">
        <v>182.9</v>
      </c>
      <c r="D11" s="8">
        <v>172.8</v>
      </c>
      <c r="E11" s="8">
        <v>157</v>
      </c>
      <c r="F11" s="8">
        <v>132.76</v>
      </c>
      <c r="G11" s="8">
        <v>129.76</v>
      </c>
      <c r="H11" s="8">
        <v>110.52</v>
      </c>
      <c r="I11" s="8">
        <v>107.52</v>
      </c>
      <c r="J11" s="8">
        <v>162.6</v>
      </c>
      <c r="K11" s="8">
        <v>150.97</v>
      </c>
      <c r="L11" s="8">
        <v>147.97</v>
      </c>
      <c r="M11" s="8">
        <v>133.62</v>
      </c>
      <c r="N11" s="8">
        <v>151.6</v>
      </c>
      <c r="O11" s="8">
        <v>109.29</v>
      </c>
      <c r="P11" s="8">
        <v>95.46</v>
      </c>
      <c r="Q11" s="8">
        <v>92.46</v>
      </c>
      <c r="R11" s="8">
        <v>82.79</v>
      </c>
      <c r="S11" s="8">
        <v>79.79</v>
      </c>
      <c r="T11" s="9">
        <v>93.8</v>
      </c>
    </row>
    <row r="12" spans="1:20" ht="12.75">
      <c r="A12" s="1">
        <f t="shared" si="0"/>
        <v>6</v>
      </c>
      <c r="B12" s="4" t="s">
        <v>302</v>
      </c>
      <c r="C12" s="8">
        <v>182.9</v>
      </c>
      <c r="D12" s="8">
        <v>172.8</v>
      </c>
      <c r="E12" s="8">
        <v>157</v>
      </c>
      <c r="F12" s="8">
        <v>132.76</v>
      </c>
      <c r="G12" s="8">
        <v>129.76</v>
      </c>
      <c r="H12" s="8">
        <v>110.52</v>
      </c>
      <c r="I12" s="8">
        <v>107.52</v>
      </c>
      <c r="J12" s="8">
        <v>162.6</v>
      </c>
      <c r="K12" s="8">
        <v>150.97</v>
      </c>
      <c r="L12" s="8">
        <v>147.97</v>
      </c>
      <c r="M12" s="8">
        <v>138.77</v>
      </c>
      <c r="N12" s="8">
        <v>156.7</v>
      </c>
      <c r="O12" s="8">
        <v>114.46</v>
      </c>
      <c r="P12" s="8">
        <v>100.62</v>
      </c>
      <c r="Q12" s="8">
        <v>97.62</v>
      </c>
      <c r="R12" s="8">
        <v>87.24</v>
      </c>
      <c r="S12" s="8">
        <v>84.24</v>
      </c>
      <c r="T12" s="9">
        <v>93.8</v>
      </c>
    </row>
    <row r="13" spans="1:20" ht="12.75">
      <c r="A13" s="1">
        <f t="shared" si="0"/>
        <v>7</v>
      </c>
      <c r="B13" s="4" t="s">
        <v>303</v>
      </c>
      <c r="C13" s="8">
        <v>185.7</v>
      </c>
      <c r="D13" s="8">
        <v>175.3</v>
      </c>
      <c r="E13" s="8">
        <v>160.5</v>
      </c>
      <c r="F13" s="8">
        <v>138.24</v>
      </c>
      <c r="G13" s="8">
        <v>135.24</v>
      </c>
      <c r="H13" s="8">
        <v>115.24</v>
      </c>
      <c r="I13" s="8">
        <v>112.24</v>
      </c>
      <c r="J13" s="8">
        <v>166.3</v>
      </c>
      <c r="K13" s="8">
        <v>156.45</v>
      </c>
      <c r="L13" s="8">
        <v>153.45</v>
      </c>
      <c r="M13" s="8">
        <v>139.57</v>
      </c>
      <c r="N13" s="8">
        <v>158.1</v>
      </c>
      <c r="O13" s="8">
        <v>115.31</v>
      </c>
      <c r="P13" s="8">
        <v>101.48</v>
      </c>
      <c r="Q13" s="8">
        <v>98.48</v>
      </c>
      <c r="R13" s="8">
        <v>87.98</v>
      </c>
      <c r="S13" s="8">
        <v>84.98</v>
      </c>
      <c r="T13" s="9">
        <v>93.8</v>
      </c>
    </row>
    <row r="14" spans="1:20" ht="12.75">
      <c r="A14" s="1">
        <f t="shared" si="0"/>
        <v>8</v>
      </c>
      <c r="B14" s="4" t="s">
        <v>304</v>
      </c>
      <c r="C14" s="8">
        <v>187.5</v>
      </c>
      <c r="D14" s="8">
        <v>177.5</v>
      </c>
      <c r="E14" s="8">
        <v>163.2</v>
      </c>
      <c r="F14" s="8">
        <v>138.6</v>
      </c>
      <c r="G14" s="8">
        <v>135.6</v>
      </c>
      <c r="H14" s="8">
        <v>115.55</v>
      </c>
      <c r="I14" s="8">
        <v>112.55</v>
      </c>
      <c r="J14" s="8">
        <v>169</v>
      </c>
      <c r="K14" s="8">
        <v>156.81</v>
      </c>
      <c r="L14" s="8">
        <v>153.81</v>
      </c>
      <c r="M14" s="8">
        <v>141.02</v>
      </c>
      <c r="N14" s="8">
        <v>160</v>
      </c>
      <c r="O14" s="8">
        <v>119.41</v>
      </c>
      <c r="P14" s="8">
        <v>105.59</v>
      </c>
      <c r="Q14" s="8">
        <v>102.59</v>
      </c>
      <c r="R14" s="8">
        <v>91.52</v>
      </c>
      <c r="S14" s="8">
        <v>88.52</v>
      </c>
      <c r="T14" s="9">
        <v>93.8</v>
      </c>
    </row>
    <row r="15" spans="1:20" ht="12.75">
      <c r="A15" s="1">
        <f t="shared" si="0"/>
        <v>9</v>
      </c>
      <c r="B15" s="4" t="s">
        <v>305</v>
      </c>
      <c r="C15" s="8">
        <v>191</v>
      </c>
      <c r="D15" s="8">
        <v>180.8</v>
      </c>
      <c r="E15" s="8">
        <v>166.3</v>
      </c>
      <c r="F15" s="8">
        <v>141.22</v>
      </c>
      <c r="G15" s="8">
        <v>138.22</v>
      </c>
      <c r="H15" s="8">
        <v>117.81</v>
      </c>
      <c r="I15" s="8">
        <v>114.81</v>
      </c>
      <c r="J15" s="8">
        <v>171.8</v>
      </c>
      <c r="K15" s="8">
        <v>159.43</v>
      </c>
      <c r="L15" s="8">
        <v>156.43</v>
      </c>
      <c r="M15" s="8">
        <v>144.72</v>
      </c>
      <c r="N15" s="8">
        <v>164.2</v>
      </c>
      <c r="O15" s="8">
        <v>121.59</v>
      </c>
      <c r="P15" s="8">
        <v>107.77</v>
      </c>
      <c r="Q15" s="8">
        <v>104.77</v>
      </c>
      <c r="R15" s="8">
        <v>93.4</v>
      </c>
      <c r="S15" s="8">
        <v>90.4</v>
      </c>
      <c r="T15" s="9">
        <v>95.22</v>
      </c>
    </row>
    <row r="16" spans="1:20" ht="12.75">
      <c r="A16" s="1">
        <f t="shared" si="0"/>
        <v>10</v>
      </c>
      <c r="B16" s="4" t="s">
        <v>306</v>
      </c>
      <c r="C16" s="8">
        <v>195.4</v>
      </c>
      <c r="D16" s="8">
        <v>185.2</v>
      </c>
      <c r="E16" s="8">
        <v>170.5</v>
      </c>
      <c r="F16" s="8">
        <v>143.75</v>
      </c>
      <c r="G16" s="8">
        <v>140.75</v>
      </c>
      <c r="H16" s="8">
        <v>119.9</v>
      </c>
      <c r="I16" s="8">
        <v>116.99</v>
      </c>
      <c r="J16" s="8">
        <v>175.9</v>
      </c>
      <c r="K16" s="8">
        <v>161.96</v>
      </c>
      <c r="L16" s="8">
        <v>158.96</v>
      </c>
      <c r="M16" s="8">
        <v>147.87</v>
      </c>
      <c r="N16" s="8">
        <v>167.6</v>
      </c>
      <c r="O16" s="8">
        <v>126.44</v>
      </c>
      <c r="P16" s="8">
        <v>112.61</v>
      </c>
      <c r="Q16" s="8">
        <v>109.61</v>
      </c>
      <c r="R16" s="8">
        <v>97.57</v>
      </c>
      <c r="S16" s="8">
        <v>94.57</v>
      </c>
      <c r="T16" s="23">
        <v>96.76</v>
      </c>
    </row>
    <row r="17" spans="1:20" ht="12.75">
      <c r="A17" s="1">
        <f t="shared" si="0"/>
        <v>11</v>
      </c>
      <c r="B17" s="4" t="s">
        <v>307</v>
      </c>
      <c r="C17" s="8">
        <v>200.1</v>
      </c>
      <c r="D17" s="8">
        <v>189.8</v>
      </c>
      <c r="E17" s="8">
        <v>174.3</v>
      </c>
      <c r="F17" s="8">
        <v>146.63</v>
      </c>
      <c r="G17" s="8">
        <v>143.63</v>
      </c>
      <c r="H17" s="8">
        <v>122.47</v>
      </c>
      <c r="I17" s="8">
        <v>119.47</v>
      </c>
      <c r="J17" s="8">
        <v>179.6</v>
      </c>
      <c r="K17" s="8">
        <v>164.84</v>
      </c>
      <c r="L17" s="8">
        <v>161.84</v>
      </c>
      <c r="M17" s="8">
        <v>150.08</v>
      </c>
      <c r="N17" s="8">
        <v>170.2</v>
      </c>
      <c r="O17" s="8">
        <v>126.66</v>
      </c>
      <c r="P17" s="8">
        <v>112.83</v>
      </c>
      <c r="Q17" s="8">
        <v>109.63</v>
      </c>
      <c r="R17" s="8">
        <v>97.76</v>
      </c>
      <c r="S17" s="8">
        <v>94.76</v>
      </c>
      <c r="T17" s="9">
        <v>96.76</v>
      </c>
    </row>
    <row r="18" spans="1:20" ht="12.75">
      <c r="A18" s="1">
        <f t="shared" si="0"/>
        <v>12</v>
      </c>
      <c r="B18" s="4" t="s">
        <v>308</v>
      </c>
      <c r="C18" s="17">
        <v>200.1</v>
      </c>
      <c r="D18" s="17">
        <v>189.8</v>
      </c>
      <c r="E18" s="17">
        <v>174.3</v>
      </c>
      <c r="F18" s="17">
        <v>146.63</v>
      </c>
      <c r="G18" s="17">
        <v>143.63</v>
      </c>
      <c r="H18" s="17">
        <v>122.47</v>
      </c>
      <c r="I18" s="17">
        <v>119.47</v>
      </c>
      <c r="J18" s="17">
        <v>179.6</v>
      </c>
      <c r="K18" s="17">
        <v>164.84</v>
      </c>
      <c r="L18" s="17">
        <v>161.84</v>
      </c>
      <c r="M18" s="17">
        <v>150.08</v>
      </c>
      <c r="N18" s="17">
        <v>170.2</v>
      </c>
      <c r="O18" s="17">
        <v>126.66</v>
      </c>
      <c r="P18" s="17">
        <v>112.83</v>
      </c>
      <c r="Q18" s="17">
        <v>109.83</v>
      </c>
      <c r="R18" s="17">
        <v>97.76</v>
      </c>
      <c r="S18" s="17">
        <v>94.76</v>
      </c>
      <c r="T18" s="9">
        <v>96.76</v>
      </c>
    </row>
    <row r="19" spans="1:20" ht="12.75">
      <c r="A19" s="1">
        <f t="shared" si="0"/>
        <v>13</v>
      </c>
      <c r="B19" s="4" t="s">
        <v>309</v>
      </c>
      <c r="C19" s="8">
        <v>204.7</v>
      </c>
      <c r="D19" s="8">
        <v>193.6</v>
      </c>
      <c r="E19" s="8">
        <v>178</v>
      </c>
      <c r="F19" s="8">
        <v>149.55</v>
      </c>
      <c r="G19" s="8">
        <v>146.55</v>
      </c>
      <c r="H19" s="8">
        <v>124.99</v>
      </c>
      <c r="I19" s="8">
        <v>121.99</v>
      </c>
      <c r="J19" s="8">
        <v>183.3</v>
      </c>
      <c r="K19" s="8">
        <v>167.76</v>
      </c>
      <c r="L19" s="8">
        <v>164.76</v>
      </c>
      <c r="M19" s="8">
        <v>153.08</v>
      </c>
      <c r="N19" s="8">
        <v>173.5</v>
      </c>
      <c r="O19" s="8">
        <v>126.66</v>
      </c>
      <c r="P19" s="8">
        <v>112.83</v>
      </c>
      <c r="Q19" s="8">
        <v>109.83</v>
      </c>
      <c r="R19" s="8">
        <v>97.76</v>
      </c>
      <c r="S19" s="8">
        <v>94.76</v>
      </c>
      <c r="T19" s="18">
        <v>98.91</v>
      </c>
    </row>
    <row r="20" spans="1:20" ht="12.75">
      <c r="A20" s="1">
        <f t="shared" si="0"/>
        <v>14</v>
      </c>
      <c r="B20" s="4" t="s">
        <v>310</v>
      </c>
      <c r="C20" s="8">
        <v>208.7</v>
      </c>
      <c r="D20" s="8">
        <v>197.1</v>
      </c>
      <c r="E20" s="8">
        <v>181</v>
      </c>
      <c r="F20" s="8">
        <v>150.97</v>
      </c>
      <c r="G20" s="8">
        <v>147.97</v>
      </c>
      <c r="H20" s="8">
        <v>128.21</v>
      </c>
      <c r="I20" s="8">
        <v>123.21</v>
      </c>
      <c r="J20" s="8">
        <v>185.3</v>
      </c>
      <c r="K20" s="8">
        <v>169.39</v>
      </c>
      <c r="L20" s="8">
        <v>166.39</v>
      </c>
      <c r="M20" s="8">
        <v>153.92</v>
      </c>
      <c r="N20" s="8">
        <v>174.5</v>
      </c>
      <c r="O20" s="8">
        <v>127.65</v>
      </c>
      <c r="P20" s="8">
        <v>113.72</v>
      </c>
      <c r="Q20" s="8">
        <v>110.72</v>
      </c>
      <c r="R20" s="8">
        <v>98.53</v>
      </c>
      <c r="S20" s="8">
        <v>95.53</v>
      </c>
      <c r="T20" s="9">
        <v>98.91</v>
      </c>
    </row>
    <row r="21" spans="1:20" ht="12.75">
      <c r="A21" s="1">
        <f t="shared" si="0"/>
        <v>15</v>
      </c>
      <c r="B21" s="4" t="s">
        <v>311</v>
      </c>
      <c r="C21" s="8">
        <v>214.2</v>
      </c>
      <c r="D21" s="8">
        <v>201.9</v>
      </c>
      <c r="E21" s="8">
        <v>184.9</v>
      </c>
      <c r="F21" s="8">
        <v>154.71</v>
      </c>
      <c r="G21" s="8">
        <v>151.71</v>
      </c>
      <c r="H21" s="8">
        <v>129.44</v>
      </c>
      <c r="I21" s="8">
        <v>126.44</v>
      </c>
      <c r="J21" s="8">
        <v>189.8</v>
      </c>
      <c r="K21" s="8">
        <v>173.34</v>
      </c>
      <c r="L21" s="8">
        <v>170.34</v>
      </c>
      <c r="M21" s="8">
        <v>157.12</v>
      </c>
      <c r="N21" s="8">
        <v>178</v>
      </c>
      <c r="O21" s="8">
        <v>131.04</v>
      </c>
      <c r="P21" s="8">
        <v>116.96</v>
      </c>
      <c r="Q21" s="8">
        <v>113.96</v>
      </c>
      <c r="R21" s="8">
        <v>101.32</v>
      </c>
      <c r="S21" s="8">
        <v>98.32</v>
      </c>
      <c r="T21" s="9">
        <v>99.5</v>
      </c>
    </row>
    <row r="22" spans="1:20" ht="12.75">
      <c r="A22" s="1">
        <f t="shared" si="0"/>
        <v>16</v>
      </c>
      <c r="B22" s="4" t="s">
        <v>312</v>
      </c>
      <c r="C22" s="8">
        <v>217.9</v>
      </c>
      <c r="D22" s="8">
        <v>205.4</v>
      </c>
      <c r="E22" s="8">
        <v>187.9</v>
      </c>
      <c r="F22" s="8">
        <v>157.39</v>
      </c>
      <c r="G22" s="8">
        <v>154.39</v>
      </c>
      <c r="H22" s="8">
        <v>131.64</v>
      </c>
      <c r="I22" s="8">
        <v>128.64</v>
      </c>
      <c r="J22" s="8">
        <v>192.8</v>
      </c>
      <c r="K22" s="8">
        <v>175.89</v>
      </c>
      <c r="L22" s="8">
        <v>172.89</v>
      </c>
      <c r="M22" s="8">
        <v>158.76</v>
      </c>
      <c r="N22" s="8">
        <v>180.2</v>
      </c>
      <c r="O22" s="8">
        <v>131.49</v>
      </c>
      <c r="P22" s="8">
        <v>117.22</v>
      </c>
      <c r="Q22" s="8">
        <v>114.22</v>
      </c>
      <c r="R22" s="8">
        <v>101.55</v>
      </c>
      <c r="S22" s="8">
        <v>98.55</v>
      </c>
      <c r="T22" s="9">
        <v>99.5</v>
      </c>
    </row>
    <row r="23" spans="1:20" ht="12.75">
      <c r="A23" s="1">
        <f t="shared" si="0"/>
        <v>17</v>
      </c>
      <c r="B23" s="4" t="s">
        <v>313</v>
      </c>
      <c r="C23" s="8">
        <v>217.9</v>
      </c>
      <c r="D23" s="8">
        <v>205.4</v>
      </c>
      <c r="E23" s="8">
        <v>187.9</v>
      </c>
      <c r="F23" s="8">
        <v>157.39</v>
      </c>
      <c r="G23" s="8">
        <v>157.39</v>
      </c>
      <c r="H23" s="8">
        <v>131.64</v>
      </c>
      <c r="I23" s="8">
        <v>128.64</v>
      </c>
      <c r="J23" s="8">
        <v>192.8</v>
      </c>
      <c r="K23" s="8">
        <v>175.89</v>
      </c>
      <c r="L23" s="8">
        <v>172.89</v>
      </c>
      <c r="M23" s="8">
        <v>158.76</v>
      </c>
      <c r="N23" s="8">
        <v>180.2</v>
      </c>
      <c r="O23" s="8">
        <v>131.49</v>
      </c>
      <c r="P23" s="8">
        <v>117.22</v>
      </c>
      <c r="Q23" s="8">
        <v>114.22</v>
      </c>
      <c r="R23" s="8">
        <v>101.55</v>
      </c>
      <c r="S23" s="8">
        <v>98.55</v>
      </c>
      <c r="T23" s="9">
        <v>99.5</v>
      </c>
    </row>
    <row r="24" spans="1:20" ht="12.75">
      <c r="A24" s="1">
        <f t="shared" si="0"/>
        <v>18</v>
      </c>
      <c r="B24" s="4" t="s">
        <v>314</v>
      </c>
      <c r="C24" s="8">
        <v>222.8</v>
      </c>
      <c r="D24" s="8">
        <v>210.2</v>
      </c>
      <c r="E24" s="8">
        <v>190.4</v>
      </c>
      <c r="F24" s="8">
        <v>158.84</v>
      </c>
      <c r="G24" s="8">
        <v>155.51</v>
      </c>
      <c r="H24" s="8">
        <v>132.74</v>
      </c>
      <c r="I24" s="8">
        <v>129.41</v>
      </c>
      <c r="J24" s="8">
        <v>196</v>
      </c>
      <c r="K24" s="8">
        <v>178.3</v>
      </c>
      <c r="L24" s="8">
        <v>174.97</v>
      </c>
      <c r="M24" s="8">
        <v>160.94</v>
      </c>
      <c r="N24" s="8">
        <v>183.2</v>
      </c>
      <c r="O24" s="8">
        <v>132.38</v>
      </c>
      <c r="P24" s="8">
        <v>118.3</v>
      </c>
      <c r="Q24" s="8">
        <v>114.97</v>
      </c>
      <c r="R24" s="8">
        <v>102.56</v>
      </c>
      <c r="S24" s="8">
        <v>99.23</v>
      </c>
      <c r="T24" s="9">
        <v>100.94</v>
      </c>
    </row>
    <row r="25" spans="1:20" ht="12.75">
      <c r="A25" s="1">
        <f t="shared" si="0"/>
        <v>19</v>
      </c>
      <c r="B25" s="4" t="s">
        <v>315</v>
      </c>
      <c r="C25" s="8">
        <v>222.8</v>
      </c>
      <c r="D25" s="8">
        <v>210.2</v>
      </c>
      <c r="E25" s="8">
        <v>190.4</v>
      </c>
      <c r="F25" s="8">
        <v>158.84</v>
      </c>
      <c r="G25" s="8">
        <v>155.51</v>
      </c>
      <c r="H25" s="8">
        <v>132.74</v>
      </c>
      <c r="I25" s="8">
        <v>129.41</v>
      </c>
      <c r="J25" s="8">
        <v>196</v>
      </c>
      <c r="K25" s="8">
        <v>178.3</v>
      </c>
      <c r="L25" s="8">
        <v>174.97</v>
      </c>
      <c r="M25" s="8">
        <v>160.94</v>
      </c>
      <c r="N25" s="8">
        <v>183.2</v>
      </c>
      <c r="O25" s="8">
        <v>132.38</v>
      </c>
      <c r="P25" s="8">
        <v>118.3</v>
      </c>
      <c r="Q25" s="8">
        <v>114.97</v>
      </c>
      <c r="R25" s="8">
        <v>102.56</v>
      </c>
      <c r="S25" s="8">
        <v>99.23</v>
      </c>
      <c r="T25" s="9">
        <v>100.94</v>
      </c>
    </row>
    <row r="26" spans="1:20" ht="12.75">
      <c r="A26" s="1">
        <f t="shared" si="0"/>
        <v>20</v>
      </c>
      <c r="B26" s="4" t="s">
        <v>316</v>
      </c>
      <c r="C26" s="8">
        <v>221.7</v>
      </c>
      <c r="D26" s="8">
        <v>209</v>
      </c>
      <c r="E26" s="8">
        <v>189.3</v>
      </c>
      <c r="F26" s="8">
        <v>157.4</v>
      </c>
      <c r="G26" s="8">
        <v>153.41</v>
      </c>
      <c r="H26" s="8">
        <v>131.44</v>
      </c>
      <c r="I26" s="8">
        <v>127.45</v>
      </c>
      <c r="J26" s="8">
        <v>194.9</v>
      </c>
      <c r="K26" s="8">
        <v>176.86</v>
      </c>
      <c r="L26" s="8">
        <v>172.87</v>
      </c>
      <c r="M26" s="8">
        <v>159.82</v>
      </c>
      <c r="N26" s="8">
        <v>182.6</v>
      </c>
      <c r="O26" s="8">
        <v>131.84</v>
      </c>
      <c r="P26" s="8">
        <v>117.58</v>
      </c>
      <c r="Q26" s="8">
        <v>113.59</v>
      </c>
      <c r="R26" s="8">
        <v>102.1</v>
      </c>
      <c r="S26" s="8">
        <v>98.11</v>
      </c>
      <c r="T26" s="9">
        <v>99.85</v>
      </c>
    </row>
    <row r="27" spans="1:20" ht="12.75">
      <c r="A27" s="1">
        <f t="shared" si="0"/>
        <v>21</v>
      </c>
      <c r="B27" s="4" t="s">
        <v>317</v>
      </c>
      <c r="C27" s="8">
        <v>220.1</v>
      </c>
      <c r="D27" s="8">
        <v>206.9</v>
      </c>
      <c r="E27" s="8">
        <v>186.6</v>
      </c>
      <c r="F27" s="8">
        <v>154.03</v>
      </c>
      <c r="G27" s="8">
        <v>149.71</v>
      </c>
      <c r="H27" s="8">
        <v>128.5</v>
      </c>
      <c r="I27" s="8">
        <v>124.18</v>
      </c>
      <c r="J27" s="8">
        <v>192.3</v>
      </c>
      <c r="K27" s="8">
        <v>173.48</v>
      </c>
      <c r="L27" s="8">
        <v>169.16</v>
      </c>
      <c r="M27" s="8">
        <v>157.02</v>
      </c>
      <c r="N27" s="8">
        <v>180.5</v>
      </c>
      <c r="O27" s="8">
        <v>130.09</v>
      </c>
      <c r="P27" s="8">
        <v>115.54</v>
      </c>
      <c r="Q27" s="8">
        <v>111.22</v>
      </c>
      <c r="R27" s="8">
        <v>100.42</v>
      </c>
      <c r="S27" s="8">
        <v>96.1</v>
      </c>
      <c r="T27" s="9">
        <v>99.85</v>
      </c>
    </row>
    <row r="28" spans="1:20" ht="12.75">
      <c r="A28" s="1">
        <f t="shared" si="0"/>
        <v>22</v>
      </c>
      <c r="B28" s="4" t="s">
        <v>318</v>
      </c>
      <c r="C28" s="8">
        <v>220.1</v>
      </c>
      <c r="D28" s="8">
        <v>206.9</v>
      </c>
      <c r="E28" s="8">
        <v>186.6</v>
      </c>
      <c r="F28" s="8">
        <v>154.03</v>
      </c>
      <c r="G28" s="8">
        <v>149.71</v>
      </c>
      <c r="H28" s="8">
        <v>128.5</v>
      </c>
      <c r="I28" s="8">
        <v>124.18</v>
      </c>
      <c r="J28" s="8">
        <v>192.3</v>
      </c>
      <c r="K28" s="8">
        <v>173.48</v>
      </c>
      <c r="L28" s="8">
        <v>169.16</v>
      </c>
      <c r="M28" s="8">
        <v>157.02</v>
      </c>
      <c r="N28" s="8">
        <v>180.5</v>
      </c>
      <c r="O28" s="8">
        <v>13.09</v>
      </c>
      <c r="P28" s="8">
        <v>115.54</v>
      </c>
      <c r="Q28" s="8">
        <v>111.22</v>
      </c>
      <c r="R28" s="8">
        <v>100.42</v>
      </c>
      <c r="S28" s="8">
        <v>96.1</v>
      </c>
      <c r="T28" s="9">
        <v>99.85</v>
      </c>
    </row>
    <row r="29" spans="1:20" ht="12.75">
      <c r="A29" s="1">
        <f t="shared" si="0"/>
        <v>23</v>
      </c>
      <c r="B29" s="4" t="s">
        <v>319</v>
      </c>
      <c r="C29" s="8">
        <v>223.1</v>
      </c>
      <c r="D29" s="8">
        <v>210.3</v>
      </c>
      <c r="E29" s="8">
        <v>189.4</v>
      </c>
      <c r="F29" s="8">
        <v>154.94</v>
      </c>
      <c r="G29" s="8">
        <v>150.31</v>
      </c>
      <c r="H29" s="8">
        <v>129.21</v>
      </c>
      <c r="I29" s="8">
        <v>124.53</v>
      </c>
      <c r="J29" s="8">
        <v>195.27</v>
      </c>
      <c r="K29" s="8">
        <v>175</v>
      </c>
      <c r="L29" s="8">
        <v>170.32</v>
      </c>
      <c r="M29" s="8">
        <v>157.02</v>
      </c>
      <c r="N29" s="8">
        <v>180.5</v>
      </c>
      <c r="O29" s="8">
        <v>131.67</v>
      </c>
      <c r="P29" s="8">
        <v>116.26</v>
      </c>
      <c r="Q29" s="8">
        <v>111.58</v>
      </c>
      <c r="R29" s="8">
        <v>100.99</v>
      </c>
      <c r="S29" s="8">
        <v>96.31</v>
      </c>
      <c r="T29" s="9">
        <v>101.85</v>
      </c>
    </row>
    <row r="30" spans="1:20" ht="12.75">
      <c r="A30" s="1">
        <f t="shared" si="0"/>
        <v>24</v>
      </c>
      <c r="B30" s="4" t="s">
        <v>320</v>
      </c>
      <c r="C30" s="8">
        <v>226.1</v>
      </c>
      <c r="D30" s="8">
        <v>212.7</v>
      </c>
      <c r="E30" s="8">
        <v>192.2</v>
      </c>
      <c r="F30" s="8">
        <v>157.81</v>
      </c>
      <c r="G30" s="8">
        <v>152.93</v>
      </c>
      <c r="H30" s="8">
        <v>131.28</v>
      </c>
      <c r="I30" s="8">
        <v>126.6</v>
      </c>
      <c r="J30" s="8">
        <v>198.1</v>
      </c>
      <c r="K30" s="8">
        <v>177.64</v>
      </c>
      <c r="L30" s="8">
        <v>172.96</v>
      </c>
      <c r="M30" s="8">
        <v>158.22</v>
      </c>
      <c r="N30" s="8">
        <v>184.2</v>
      </c>
      <c r="O30" s="8">
        <v>135.37</v>
      </c>
      <c r="P30" s="8">
        <v>119.98</v>
      </c>
      <c r="Q30" s="8">
        <v>115.3</v>
      </c>
      <c r="R30" s="8">
        <v>104.19</v>
      </c>
      <c r="S30" s="8">
        <v>99.51</v>
      </c>
      <c r="T30" s="9">
        <v>103.85</v>
      </c>
    </row>
    <row r="31" spans="1:20" ht="12.75">
      <c r="A31" s="1">
        <f t="shared" si="0"/>
        <v>25</v>
      </c>
      <c r="B31" s="4" t="s">
        <v>321</v>
      </c>
      <c r="C31" s="8">
        <v>227.1</v>
      </c>
      <c r="D31" s="8">
        <v>213.7</v>
      </c>
      <c r="E31" s="8">
        <v>193.8</v>
      </c>
      <c r="F31" s="8">
        <v>158.87</v>
      </c>
      <c r="G31" s="8">
        <v>154.19</v>
      </c>
      <c r="H31" s="8">
        <v>132.24</v>
      </c>
      <c r="I31" s="8">
        <v>127.56</v>
      </c>
      <c r="J31" s="8">
        <v>199.8</v>
      </c>
      <c r="K31" s="8">
        <v>178.94</v>
      </c>
      <c r="L31" s="8">
        <v>174.26</v>
      </c>
      <c r="M31" s="8">
        <v>160.3</v>
      </c>
      <c r="N31" s="8">
        <v>186.8</v>
      </c>
      <c r="O31" s="8">
        <v>136.82</v>
      </c>
      <c r="P31" s="8">
        <v>122.55</v>
      </c>
      <c r="Q31" s="8">
        <v>117.87</v>
      </c>
      <c r="R31" s="8">
        <v>106.41</v>
      </c>
      <c r="S31" s="8">
        <v>101.73</v>
      </c>
      <c r="T31" s="9">
        <v>104.85</v>
      </c>
    </row>
    <row r="32" spans="1:20" ht="12.75">
      <c r="A32" s="1">
        <f t="shared" si="0"/>
        <v>26</v>
      </c>
      <c r="B32" s="4" t="s">
        <v>322</v>
      </c>
      <c r="C32" s="8">
        <v>225.1</v>
      </c>
      <c r="D32" s="8">
        <v>211.2</v>
      </c>
      <c r="E32" s="8">
        <v>190.8</v>
      </c>
      <c r="F32" s="8">
        <v>155.85</v>
      </c>
      <c r="G32" s="8">
        <v>151.17</v>
      </c>
      <c r="H32" s="8">
        <v>129.51</v>
      </c>
      <c r="I32" s="8">
        <v>124.83</v>
      </c>
      <c r="J32" s="8">
        <v>196.6</v>
      </c>
      <c r="K32" s="8">
        <v>175.94</v>
      </c>
      <c r="L32" s="8">
        <v>171.26</v>
      </c>
      <c r="M32" s="8">
        <v>157.3</v>
      </c>
      <c r="N32" s="8">
        <v>183.1</v>
      </c>
      <c r="O32" s="8">
        <v>134.07</v>
      </c>
      <c r="P32" s="8">
        <v>119.65</v>
      </c>
      <c r="Q32" s="8">
        <v>114.97</v>
      </c>
      <c r="R32" s="8">
        <v>103.91</v>
      </c>
      <c r="S32" s="8">
        <v>99.23</v>
      </c>
      <c r="T32" s="9">
        <v>103.35</v>
      </c>
    </row>
    <row r="33" spans="1:20" ht="12.75">
      <c r="A33" s="1">
        <f t="shared" si="0"/>
        <v>27</v>
      </c>
      <c r="B33" s="4" t="s">
        <v>323</v>
      </c>
      <c r="C33" s="8">
        <v>225.1</v>
      </c>
      <c r="D33" s="8">
        <v>210.2</v>
      </c>
      <c r="E33" s="8">
        <v>188.8</v>
      </c>
      <c r="F33" s="8">
        <v>154.35</v>
      </c>
      <c r="G33" s="8">
        <v>149.67</v>
      </c>
      <c r="H33" s="8">
        <v>128.18</v>
      </c>
      <c r="I33" s="8">
        <v>123.5</v>
      </c>
      <c r="J33" s="8">
        <v>194.5</v>
      </c>
      <c r="K33" s="8">
        <v>174.84</v>
      </c>
      <c r="L33" s="8">
        <v>170.16</v>
      </c>
      <c r="M33" s="8">
        <v>154.8</v>
      </c>
      <c r="N33" s="8">
        <v>180.1</v>
      </c>
      <c r="O33" s="8">
        <v>133.07</v>
      </c>
      <c r="P33" s="8">
        <v>118.15</v>
      </c>
      <c r="Q33" s="8">
        <v>113.47</v>
      </c>
      <c r="R33" s="8">
        <v>102.62</v>
      </c>
      <c r="S33" s="8">
        <v>97.94</v>
      </c>
      <c r="T33" s="9">
        <v>104.1</v>
      </c>
    </row>
    <row r="34" spans="1:20" ht="12.75">
      <c r="A34" s="1">
        <f t="shared" si="0"/>
        <v>28</v>
      </c>
      <c r="B34" s="4" t="s">
        <v>324</v>
      </c>
      <c r="C34" s="8">
        <v>225.1</v>
      </c>
      <c r="D34" s="8">
        <v>210.2</v>
      </c>
      <c r="E34" s="8">
        <v>188.8</v>
      </c>
      <c r="F34" s="8">
        <v>154.35</v>
      </c>
      <c r="G34" s="8">
        <v>149.67</v>
      </c>
      <c r="H34" s="8">
        <v>128.18</v>
      </c>
      <c r="I34" s="8">
        <v>123.5</v>
      </c>
      <c r="J34" s="8">
        <v>194.6</v>
      </c>
      <c r="K34" s="8">
        <v>174.84</v>
      </c>
      <c r="L34" s="8">
        <v>170.16</v>
      </c>
      <c r="M34" s="8">
        <v>154.8</v>
      </c>
      <c r="N34" s="8">
        <v>180.1</v>
      </c>
      <c r="O34" s="8">
        <v>133.07</v>
      </c>
      <c r="P34" s="8">
        <v>118.15</v>
      </c>
      <c r="Q34" s="8">
        <v>113.47</v>
      </c>
      <c r="R34" s="8">
        <v>102.62</v>
      </c>
      <c r="S34" s="8">
        <v>97.94</v>
      </c>
      <c r="T34" s="9">
        <v>104.1</v>
      </c>
    </row>
    <row r="35" spans="1:20" ht="12.75">
      <c r="A35" s="1">
        <f t="shared" si="0"/>
        <v>29</v>
      </c>
      <c r="B35" s="4" t="s">
        <v>325</v>
      </c>
      <c r="C35" s="8">
        <v>229.9</v>
      </c>
      <c r="D35" s="8">
        <v>214.4</v>
      </c>
      <c r="E35" s="8">
        <v>193.3</v>
      </c>
      <c r="F35" s="8">
        <v>158.13</v>
      </c>
      <c r="G35" s="8">
        <v>153.45</v>
      </c>
      <c r="H35" s="8">
        <v>131.4</v>
      </c>
      <c r="I35" s="8">
        <v>126.72</v>
      </c>
      <c r="J35" s="8">
        <v>199.5</v>
      </c>
      <c r="K35" s="8">
        <v>179.46</v>
      </c>
      <c r="L35" s="8">
        <v>174.78</v>
      </c>
      <c r="M35" s="8">
        <v>159.74</v>
      </c>
      <c r="N35" s="8">
        <v>185.2</v>
      </c>
      <c r="O35" s="8">
        <v>134.95</v>
      </c>
      <c r="P35" s="8">
        <v>118.62</v>
      </c>
      <c r="Q35" s="8">
        <v>113.94</v>
      </c>
      <c r="R35" s="8">
        <v>103.02</v>
      </c>
      <c r="S35" s="8">
        <v>98.34</v>
      </c>
      <c r="T35" s="9">
        <v>106.86</v>
      </c>
    </row>
    <row r="36" spans="1:20" ht="12.75">
      <c r="A36" s="1">
        <f t="shared" si="0"/>
        <v>30</v>
      </c>
      <c r="B36" s="4" t="s">
        <v>326</v>
      </c>
      <c r="C36" s="8">
        <v>234.5</v>
      </c>
      <c r="D36" s="8">
        <v>218.4</v>
      </c>
      <c r="E36" s="8">
        <v>195.8</v>
      </c>
      <c r="F36" s="8">
        <v>159.73</v>
      </c>
      <c r="G36" s="8">
        <v>155.05</v>
      </c>
      <c r="H36" s="8">
        <v>132.72</v>
      </c>
      <c r="I36" s="8">
        <v>128.04</v>
      </c>
      <c r="J36" s="8">
        <v>202.2</v>
      </c>
      <c r="K36" s="8">
        <v>181.42</v>
      </c>
      <c r="L36" s="8">
        <v>178.74</v>
      </c>
      <c r="M36" s="8">
        <v>161.47</v>
      </c>
      <c r="N36" s="8">
        <v>187.4</v>
      </c>
      <c r="O36" s="8">
        <v>135.98</v>
      </c>
      <c r="P36" s="8">
        <v>119.42</v>
      </c>
      <c r="Q36" s="8">
        <v>114.74</v>
      </c>
      <c r="R36" s="8">
        <v>103.71</v>
      </c>
      <c r="S36" s="8">
        <v>99.03</v>
      </c>
      <c r="T36" s="9">
        <v>107.56</v>
      </c>
    </row>
    <row r="37" spans="1:20" ht="12.75">
      <c r="A37" s="1">
        <f t="shared" si="0"/>
        <v>31</v>
      </c>
      <c r="B37" s="4" t="s">
        <v>327</v>
      </c>
      <c r="C37" s="8">
        <v>237</v>
      </c>
      <c r="D37" s="8">
        <v>220.7</v>
      </c>
      <c r="E37" s="8">
        <v>197.1</v>
      </c>
      <c r="F37" s="8">
        <v>160.38</v>
      </c>
      <c r="G37" s="8">
        <v>155.7</v>
      </c>
      <c r="H37" s="8">
        <v>133.22</v>
      </c>
      <c r="I37" s="8">
        <v>128.54</v>
      </c>
      <c r="J37" s="8">
        <v>203.5</v>
      </c>
      <c r="K37" s="8">
        <v>182.43</v>
      </c>
      <c r="L37" s="8">
        <v>177.75</v>
      </c>
      <c r="M37" s="8">
        <v>162.58</v>
      </c>
      <c r="N37" s="8">
        <v>188.5</v>
      </c>
      <c r="O37" s="8">
        <v>137.75</v>
      </c>
      <c r="P37" s="8">
        <v>120.9</v>
      </c>
      <c r="Q37" s="8">
        <v>116.22</v>
      </c>
      <c r="R37" s="8">
        <v>104.99</v>
      </c>
      <c r="S37" s="8">
        <v>100.31</v>
      </c>
      <c r="T37" s="9">
        <v>108.06</v>
      </c>
    </row>
    <row r="38" spans="1:20" ht="12.75">
      <c r="A38" s="1">
        <f t="shared" si="0"/>
        <v>32</v>
      </c>
      <c r="B38" s="4" t="s">
        <v>328</v>
      </c>
      <c r="C38" s="8">
        <v>237</v>
      </c>
      <c r="D38" s="8">
        <v>220.7</v>
      </c>
      <c r="E38" s="8">
        <v>197.1</v>
      </c>
      <c r="F38" s="8">
        <v>160.38</v>
      </c>
      <c r="G38" s="8">
        <v>155.7</v>
      </c>
      <c r="H38" s="8">
        <v>133.22</v>
      </c>
      <c r="I38" s="8">
        <v>128.54</v>
      </c>
      <c r="J38" s="8">
        <v>203.5</v>
      </c>
      <c r="K38" s="8">
        <v>182.43</v>
      </c>
      <c r="L38" s="8">
        <v>177.75</v>
      </c>
      <c r="M38" s="8">
        <v>162.58</v>
      </c>
      <c r="N38" s="8">
        <v>188.5</v>
      </c>
      <c r="O38" s="8">
        <v>137.75</v>
      </c>
      <c r="P38" s="8">
        <v>120.9</v>
      </c>
      <c r="Q38" s="8">
        <v>116.22</v>
      </c>
      <c r="R38" s="8">
        <v>104.99</v>
      </c>
      <c r="S38" s="8">
        <v>100.31</v>
      </c>
      <c r="T38" s="9">
        <v>108.06</v>
      </c>
    </row>
    <row r="39" spans="1:20" ht="12.75">
      <c r="A39" s="1">
        <f t="shared" si="0"/>
        <v>33</v>
      </c>
      <c r="B39" s="4" t="s">
        <v>329</v>
      </c>
      <c r="C39" s="8">
        <v>227.2</v>
      </c>
      <c r="D39" s="8">
        <v>210.3</v>
      </c>
      <c r="E39" s="8">
        <v>186.2</v>
      </c>
      <c r="F39" s="8">
        <v>151</v>
      </c>
      <c r="G39" s="8">
        <v>146.32</v>
      </c>
      <c r="H39" s="8">
        <v>125.19</v>
      </c>
      <c r="I39" s="8">
        <v>120.51</v>
      </c>
      <c r="J39" s="8">
        <v>192.7</v>
      </c>
      <c r="K39" s="8">
        <v>173.06</v>
      </c>
      <c r="L39" s="8">
        <v>168.38</v>
      </c>
      <c r="M39" s="8">
        <v>151.12</v>
      </c>
      <c r="N39" s="8">
        <v>177.3</v>
      </c>
      <c r="O39" s="8">
        <v>129.64</v>
      </c>
      <c r="P39" s="8">
        <v>112.82</v>
      </c>
      <c r="Q39" s="8">
        <v>108.14</v>
      </c>
      <c r="R39" s="8">
        <v>98.02</v>
      </c>
      <c r="S39" s="8">
        <v>93.34</v>
      </c>
      <c r="T39" s="9">
        <v>104.2</v>
      </c>
    </row>
    <row r="40" spans="1:20" ht="12.75">
      <c r="A40" s="1">
        <f t="shared" si="0"/>
        <v>34</v>
      </c>
      <c r="B40" s="4" t="s">
        <v>330</v>
      </c>
      <c r="C40" s="8">
        <v>230.4</v>
      </c>
      <c r="D40" s="8">
        <v>213</v>
      </c>
      <c r="E40" s="8">
        <v>187.4</v>
      </c>
      <c r="F40" s="8">
        <v>151.7</v>
      </c>
      <c r="G40" s="8">
        <v>147.02</v>
      </c>
      <c r="H40" s="8">
        <v>125.79</v>
      </c>
      <c r="I40" s="8">
        <v>121.11</v>
      </c>
      <c r="J40" s="8">
        <v>193.9</v>
      </c>
      <c r="K40" s="8">
        <v>173.76</v>
      </c>
      <c r="L40" s="8">
        <v>169.08</v>
      </c>
      <c r="M40" s="8">
        <v>153.18</v>
      </c>
      <c r="N40" s="8">
        <v>179.1</v>
      </c>
      <c r="O40" s="8">
        <v>131.47</v>
      </c>
      <c r="P40" s="8">
        <v>114.37</v>
      </c>
      <c r="Q40" s="8">
        <v>109.69</v>
      </c>
      <c r="R40" s="8">
        <v>99.36</v>
      </c>
      <c r="S40" s="8">
        <v>94.68</v>
      </c>
      <c r="T40" s="9">
        <v>105.7</v>
      </c>
    </row>
    <row r="41" spans="1:20" ht="12.75">
      <c r="A41" s="1">
        <f t="shared" si="0"/>
        <v>35</v>
      </c>
      <c r="B41" s="4" t="s">
        <v>331</v>
      </c>
      <c r="C41" s="8">
        <v>232.4</v>
      </c>
      <c r="D41" s="8">
        <v>215.3</v>
      </c>
      <c r="E41" s="8">
        <v>187.4</v>
      </c>
      <c r="F41" s="8">
        <v>151.7</v>
      </c>
      <c r="G41" s="8">
        <v>147.02</v>
      </c>
      <c r="H41" s="8">
        <v>125.79</v>
      </c>
      <c r="I41" s="8">
        <v>121.11</v>
      </c>
      <c r="J41" s="8">
        <v>193.9</v>
      </c>
      <c r="K41" s="8">
        <v>173.76</v>
      </c>
      <c r="L41" s="8">
        <v>169.08</v>
      </c>
      <c r="M41" s="8">
        <v>154.63</v>
      </c>
      <c r="N41" s="8">
        <v>180.3</v>
      </c>
      <c r="O41" s="8">
        <v>131.89</v>
      </c>
      <c r="P41" s="8">
        <v>115</v>
      </c>
      <c r="Q41" s="8">
        <v>110.32</v>
      </c>
      <c r="R41" s="8">
        <v>99.9</v>
      </c>
      <c r="S41" s="8">
        <v>95.22</v>
      </c>
      <c r="T41" s="9">
        <v>105.7</v>
      </c>
    </row>
    <row r="42" spans="1:20" ht="12.75">
      <c r="A42" s="1">
        <f t="shared" si="0"/>
        <v>36</v>
      </c>
      <c r="B42" s="4" t="s">
        <v>332</v>
      </c>
      <c r="C42" s="8">
        <v>236</v>
      </c>
      <c r="D42" s="8">
        <v>219.2</v>
      </c>
      <c r="E42" s="8">
        <v>190.5</v>
      </c>
      <c r="F42" s="8">
        <v>154.14</v>
      </c>
      <c r="G42" s="8">
        <v>149.46</v>
      </c>
      <c r="H42" s="8">
        <v>127.89</v>
      </c>
      <c r="I42" s="8">
        <v>123.21</v>
      </c>
      <c r="J42" s="8">
        <v>197</v>
      </c>
      <c r="K42" s="8">
        <v>176.2</v>
      </c>
      <c r="L42" s="8">
        <v>171.52</v>
      </c>
      <c r="M42" s="8">
        <v>158.81</v>
      </c>
      <c r="N42" s="8">
        <v>185.5</v>
      </c>
      <c r="O42" s="8">
        <v>136.38</v>
      </c>
      <c r="P42" s="8">
        <v>119.49</v>
      </c>
      <c r="Q42" s="8">
        <v>114.81</v>
      </c>
      <c r="R42" s="8">
        <v>103.77</v>
      </c>
      <c r="S42" s="8">
        <v>99.09</v>
      </c>
      <c r="T42" s="9">
        <v>107.1</v>
      </c>
    </row>
    <row r="43" spans="1:20" ht="12.75">
      <c r="A43" s="1">
        <f t="shared" si="0"/>
        <v>37</v>
      </c>
      <c r="B43" s="4" t="s">
        <v>333</v>
      </c>
      <c r="C43" s="8">
        <v>235.7</v>
      </c>
      <c r="D43" s="8">
        <v>219.3</v>
      </c>
      <c r="E43" s="8">
        <v>192.3</v>
      </c>
      <c r="F43" s="8">
        <v>155.91</v>
      </c>
      <c r="G43" s="8">
        <v>151.23</v>
      </c>
      <c r="H43" s="8">
        <v>129.42</v>
      </c>
      <c r="I43" s="8">
        <v>124.74</v>
      </c>
      <c r="J43" s="8">
        <v>198.8</v>
      </c>
      <c r="K43" s="8">
        <v>177.97</v>
      </c>
      <c r="L43" s="8">
        <v>173.29</v>
      </c>
      <c r="M43" s="8">
        <v>156.26</v>
      </c>
      <c r="N43" s="8">
        <v>183</v>
      </c>
      <c r="O43" s="8">
        <v>135.56</v>
      </c>
      <c r="P43" s="8">
        <v>118.66</v>
      </c>
      <c r="Q43" s="8">
        <v>113.98</v>
      </c>
      <c r="R43" s="8">
        <v>103.06</v>
      </c>
      <c r="S43" s="8">
        <v>98.38</v>
      </c>
      <c r="T43" s="9">
        <v>108.2</v>
      </c>
    </row>
    <row r="44" spans="1:20" ht="12.75">
      <c r="A44" s="1">
        <f t="shared" si="0"/>
        <v>38</v>
      </c>
      <c r="B44" s="4" t="s">
        <v>334</v>
      </c>
      <c r="C44" s="8">
        <v>230.5</v>
      </c>
      <c r="D44" s="8">
        <v>215</v>
      </c>
      <c r="E44" s="8">
        <v>190.2</v>
      </c>
      <c r="F44" s="8">
        <v>154.15</v>
      </c>
      <c r="G44" s="8">
        <v>149.47</v>
      </c>
      <c r="H44" s="8">
        <v>127.9</v>
      </c>
      <c r="I44" s="8">
        <v>123.22</v>
      </c>
      <c r="J44" s="8">
        <v>196.9</v>
      </c>
      <c r="K44" s="8">
        <v>176.21</v>
      </c>
      <c r="L44" s="8">
        <v>171.53</v>
      </c>
      <c r="M44" s="8">
        <v>153.91</v>
      </c>
      <c r="N44" s="8">
        <v>180.5</v>
      </c>
      <c r="O44" s="8">
        <v>134.8</v>
      </c>
      <c r="P44" s="8">
        <v>117.91</v>
      </c>
      <c r="Q44" s="8">
        <v>113.23</v>
      </c>
      <c r="R44" s="8">
        <v>102.41</v>
      </c>
      <c r="S44" s="8">
        <v>97.73</v>
      </c>
      <c r="T44" s="9">
        <v>109.6</v>
      </c>
    </row>
    <row r="45" spans="1:20" ht="12.75">
      <c r="A45" s="1">
        <f t="shared" si="0"/>
        <v>39</v>
      </c>
      <c r="B45" s="4" t="s">
        <v>335</v>
      </c>
      <c r="C45" s="8">
        <v>226.8</v>
      </c>
      <c r="D45" s="8">
        <v>210.9</v>
      </c>
      <c r="E45" s="8">
        <v>188.7</v>
      </c>
      <c r="F45" s="8">
        <v>152.95</v>
      </c>
      <c r="G45" s="8">
        <v>148.27</v>
      </c>
      <c r="H45" s="8">
        <v>126.87</v>
      </c>
      <c r="I45" s="8">
        <v>122.19</v>
      </c>
      <c r="J45" s="8">
        <v>195.4</v>
      </c>
      <c r="K45" s="8">
        <v>175.01</v>
      </c>
      <c r="L45" s="8">
        <v>170.33</v>
      </c>
      <c r="M45" s="8">
        <v>152.91</v>
      </c>
      <c r="N45" s="8">
        <v>179.5</v>
      </c>
      <c r="O45" s="8">
        <v>134.8</v>
      </c>
      <c r="P45" s="8">
        <v>117.91</v>
      </c>
      <c r="Q45" s="8">
        <v>113.23</v>
      </c>
      <c r="R45" s="8">
        <v>102.41</v>
      </c>
      <c r="S45" s="8">
        <v>97.73</v>
      </c>
      <c r="T45" s="9">
        <v>109.6</v>
      </c>
    </row>
    <row r="46" spans="1:20" ht="12.75">
      <c r="A46" s="1">
        <f t="shared" si="0"/>
        <v>40</v>
      </c>
      <c r="B46" s="4" t="s">
        <v>336</v>
      </c>
      <c r="C46" s="8">
        <v>222.9</v>
      </c>
      <c r="D46" s="8">
        <v>206.9</v>
      </c>
      <c r="E46" s="8">
        <v>186.3</v>
      </c>
      <c r="F46" s="8">
        <v>150.56</v>
      </c>
      <c r="G46" s="8">
        <v>145.88</v>
      </c>
      <c r="H46" s="8">
        <v>124.81</v>
      </c>
      <c r="I46" s="8">
        <v>120.13</v>
      </c>
      <c r="J46" s="8">
        <v>192.9</v>
      </c>
      <c r="K46" s="8">
        <v>172.62</v>
      </c>
      <c r="L46" s="8">
        <v>167.94</v>
      </c>
      <c r="M46" s="8">
        <v>151.42</v>
      </c>
      <c r="N46" s="8">
        <v>177.2</v>
      </c>
      <c r="O46" s="8">
        <v>132.95</v>
      </c>
      <c r="P46" s="8">
        <v>116.05</v>
      </c>
      <c r="Q46" s="8">
        <v>111.37</v>
      </c>
      <c r="R46" s="8">
        <v>100.81</v>
      </c>
      <c r="S46" s="8">
        <v>96.13</v>
      </c>
      <c r="T46" s="9">
        <v>108.6</v>
      </c>
    </row>
    <row r="47" spans="1:20" ht="12.75">
      <c r="A47" s="1">
        <f t="shared" si="0"/>
        <v>41</v>
      </c>
      <c r="B47" s="4" t="s">
        <v>337</v>
      </c>
      <c r="C47" s="8">
        <v>220.8</v>
      </c>
      <c r="D47" s="8">
        <v>205.2</v>
      </c>
      <c r="E47" s="8">
        <v>184</v>
      </c>
      <c r="F47" s="8">
        <v>148.73</v>
      </c>
      <c r="G47" s="8">
        <v>144.05</v>
      </c>
      <c r="H47" s="8">
        <v>123.23</v>
      </c>
      <c r="I47" s="8">
        <v>118.55</v>
      </c>
      <c r="J47" s="8">
        <v>190.6</v>
      </c>
      <c r="K47" s="8">
        <v>170.79</v>
      </c>
      <c r="L47" s="8">
        <v>166.11</v>
      </c>
      <c r="M47" s="8">
        <v>149.73</v>
      </c>
      <c r="N47" s="8">
        <v>175.1</v>
      </c>
      <c r="O47" s="8">
        <v>131.75</v>
      </c>
      <c r="P47" s="8">
        <v>114.86</v>
      </c>
      <c r="Q47" s="8">
        <v>110.18</v>
      </c>
      <c r="R47" s="8">
        <v>99.78</v>
      </c>
      <c r="S47" s="8">
        <v>95.1</v>
      </c>
      <c r="T47" s="9">
        <v>107.6</v>
      </c>
    </row>
    <row r="48" spans="1:20" ht="12.75">
      <c r="A48" s="1">
        <f t="shared" si="0"/>
        <v>42</v>
      </c>
      <c r="B48" s="4" t="s">
        <v>689</v>
      </c>
      <c r="C48" s="8">
        <v>223.4</v>
      </c>
      <c r="D48" s="8">
        <v>208</v>
      </c>
      <c r="E48" s="8">
        <v>186.2</v>
      </c>
      <c r="F48" s="8">
        <v>150.3</v>
      </c>
      <c r="G48" s="8">
        <v>145.62</v>
      </c>
      <c r="H48" s="8">
        <v>124.58</v>
      </c>
      <c r="I48" s="8">
        <v>119.9</v>
      </c>
      <c r="J48" s="8">
        <v>192.8</v>
      </c>
      <c r="K48" s="8">
        <v>172.36</v>
      </c>
      <c r="L48" s="8">
        <v>167.68</v>
      </c>
      <c r="M48" s="8">
        <v>150.92</v>
      </c>
      <c r="N48" s="8">
        <v>175.8</v>
      </c>
      <c r="O48" s="8">
        <v>133.77</v>
      </c>
      <c r="P48" s="8">
        <v>116.88</v>
      </c>
      <c r="Q48" s="8">
        <v>112.2</v>
      </c>
      <c r="R48" s="8">
        <v>101.52</v>
      </c>
      <c r="S48" s="8">
        <v>96.84</v>
      </c>
      <c r="T48" s="9">
        <v>107.6</v>
      </c>
    </row>
    <row r="49" spans="1:20" ht="12.75">
      <c r="A49" s="1">
        <f t="shared" si="0"/>
        <v>43</v>
      </c>
      <c r="B49" s="4" t="s">
        <v>445</v>
      </c>
      <c r="C49" s="8">
        <v>225.6</v>
      </c>
      <c r="D49" s="8">
        <v>210</v>
      </c>
      <c r="E49" s="8">
        <v>188.6</v>
      </c>
      <c r="F49" s="8">
        <v>152.55</v>
      </c>
      <c r="G49" s="8">
        <v>147.87</v>
      </c>
      <c r="H49" s="8">
        <v>126.52</v>
      </c>
      <c r="I49" s="8">
        <v>121.84</v>
      </c>
      <c r="J49" s="8">
        <v>195.2</v>
      </c>
      <c r="K49" s="8">
        <v>174.61</v>
      </c>
      <c r="L49" s="8">
        <v>169.93</v>
      </c>
      <c r="M49" s="8">
        <v>153.42</v>
      </c>
      <c r="N49" s="8">
        <v>178.6</v>
      </c>
      <c r="O49" s="8">
        <v>136.34</v>
      </c>
      <c r="P49" s="8">
        <v>118.87</v>
      </c>
      <c r="Q49" s="8">
        <v>114.19</v>
      </c>
      <c r="R49" s="38">
        <v>103.24</v>
      </c>
      <c r="S49" s="8">
        <v>98.56</v>
      </c>
      <c r="T49" s="9">
        <v>108.6</v>
      </c>
    </row>
    <row r="50" spans="1:20" ht="12.75">
      <c r="A50" s="1">
        <f t="shared" si="0"/>
        <v>44</v>
      </c>
      <c r="B50" s="4" t="s">
        <v>446</v>
      </c>
      <c r="C50" s="8">
        <v>225.6</v>
      </c>
      <c r="D50" s="8">
        <v>210</v>
      </c>
      <c r="E50" s="8">
        <v>190.9</v>
      </c>
      <c r="F50" s="8">
        <v>154.54</v>
      </c>
      <c r="G50" s="8">
        <v>149.86</v>
      </c>
      <c r="H50" s="8">
        <v>128.24</v>
      </c>
      <c r="I50" s="8">
        <v>123.56</v>
      </c>
      <c r="J50" s="8">
        <v>197.4</v>
      </c>
      <c r="K50" s="8">
        <v>176.6</v>
      </c>
      <c r="L50" s="8">
        <v>171.92</v>
      </c>
      <c r="M50" s="8">
        <v>156.17</v>
      </c>
      <c r="N50" s="8">
        <v>181.5</v>
      </c>
      <c r="O50" s="8">
        <v>138.34</v>
      </c>
      <c r="P50" s="8">
        <v>121.08</v>
      </c>
      <c r="Q50" s="8">
        <v>116.4</v>
      </c>
      <c r="R50" s="8">
        <v>105.14</v>
      </c>
      <c r="S50" s="8">
        <v>100.46</v>
      </c>
      <c r="T50" s="9">
        <v>108.6</v>
      </c>
    </row>
    <row r="51" spans="1:20" ht="12.75">
      <c r="A51" s="1">
        <f t="shared" si="0"/>
        <v>45</v>
      </c>
      <c r="B51" s="4" t="s">
        <v>447</v>
      </c>
      <c r="C51" s="8">
        <v>225.6</v>
      </c>
      <c r="D51" s="8">
        <v>210</v>
      </c>
      <c r="E51" s="8">
        <v>190.9</v>
      </c>
      <c r="F51" s="8">
        <v>154.54</v>
      </c>
      <c r="G51" s="8">
        <v>149.86</v>
      </c>
      <c r="H51" s="8">
        <v>128.24</v>
      </c>
      <c r="I51" s="8">
        <v>123.56</v>
      </c>
      <c r="J51" s="8">
        <v>197.4</v>
      </c>
      <c r="K51" s="8">
        <v>176.6</v>
      </c>
      <c r="L51" s="8">
        <v>171.92</v>
      </c>
      <c r="M51" s="8">
        <v>156.17</v>
      </c>
      <c r="N51" s="8">
        <v>181.5</v>
      </c>
      <c r="O51" s="8">
        <v>138.34</v>
      </c>
      <c r="P51" s="8">
        <v>121.08</v>
      </c>
      <c r="Q51" s="8">
        <v>116.4</v>
      </c>
      <c r="R51" s="8">
        <v>105.14</v>
      </c>
      <c r="S51" s="8">
        <v>100.46</v>
      </c>
      <c r="T51" s="9">
        <v>108.6</v>
      </c>
    </row>
    <row r="52" spans="1:20" ht="12.75">
      <c r="A52" s="1">
        <f t="shared" si="0"/>
        <v>46</v>
      </c>
      <c r="B52" s="4" t="s">
        <v>448</v>
      </c>
      <c r="C52" s="8">
        <v>225.6</v>
      </c>
      <c r="D52" s="8">
        <v>210</v>
      </c>
      <c r="E52" s="8">
        <v>192.9</v>
      </c>
      <c r="F52" s="8">
        <v>156.47</v>
      </c>
      <c r="G52" s="8">
        <v>151.79</v>
      </c>
      <c r="H52" s="8">
        <v>129.9</v>
      </c>
      <c r="I52" s="8">
        <v>125.22</v>
      </c>
      <c r="J52" s="8">
        <v>199.4</v>
      </c>
      <c r="K52" s="8">
        <v>178.53</v>
      </c>
      <c r="L52" s="8">
        <v>173.85</v>
      </c>
      <c r="M52" s="8">
        <v>158.26</v>
      </c>
      <c r="N52" s="8">
        <v>183.7</v>
      </c>
      <c r="O52" s="8">
        <v>140.82</v>
      </c>
      <c r="P52" s="8">
        <v>123.92</v>
      </c>
      <c r="Q52" s="8">
        <v>119.24</v>
      </c>
      <c r="R52" s="8">
        <v>107.59</v>
      </c>
      <c r="S52" s="8">
        <v>102.91</v>
      </c>
      <c r="T52" s="9">
        <v>108.6</v>
      </c>
    </row>
    <row r="53" spans="1:20" ht="12.75">
      <c r="A53" s="1">
        <f t="shared" si="0"/>
        <v>47</v>
      </c>
      <c r="B53" s="4" t="s">
        <v>449</v>
      </c>
      <c r="C53" s="8">
        <v>225.6</v>
      </c>
      <c r="D53" s="8">
        <v>210</v>
      </c>
      <c r="E53" s="8">
        <v>195.6</v>
      </c>
      <c r="F53" s="8">
        <v>158.81</v>
      </c>
      <c r="G53" s="8">
        <v>154.13</v>
      </c>
      <c r="H53" s="8">
        <v>131.92</v>
      </c>
      <c r="I53" s="8">
        <v>127.24</v>
      </c>
      <c r="J53" s="8">
        <v>202.2</v>
      </c>
      <c r="K53" s="8">
        <v>181.33</v>
      </c>
      <c r="L53" s="8">
        <v>176.65</v>
      </c>
      <c r="M53" s="8">
        <v>160.36</v>
      </c>
      <c r="N53" s="8">
        <v>186.3</v>
      </c>
      <c r="O53" s="8">
        <v>140.82</v>
      </c>
      <c r="P53" s="8">
        <v>123.92</v>
      </c>
      <c r="Q53" s="8">
        <v>119.24</v>
      </c>
      <c r="R53" s="8">
        <v>107.59</v>
      </c>
      <c r="S53" s="8">
        <v>102.91</v>
      </c>
      <c r="T53" s="9">
        <v>108.6</v>
      </c>
    </row>
    <row r="54" spans="1:20" ht="12.75">
      <c r="A54" s="1">
        <f t="shared" si="0"/>
        <v>48</v>
      </c>
      <c r="B54" s="4" t="s">
        <v>450</v>
      </c>
      <c r="C54" s="8">
        <v>222.2</v>
      </c>
      <c r="D54" s="8">
        <v>206.8</v>
      </c>
      <c r="E54" s="8">
        <v>194.6</v>
      </c>
      <c r="F54" s="8">
        <v>157.02</v>
      </c>
      <c r="G54" s="8">
        <v>152.34</v>
      </c>
      <c r="H54" s="8">
        <v>130.38</v>
      </c>
      <c r="I54" s="8">
        <v>125.7</v>
      </c>
      <c r="J54" s="8">
        <v>201.2</v>
      </c>
      <c r="K54" s="8">
        <v>179.54</v>
      </c>
      <c r="L54" s="8">
        <v>174.86</v>
      </c>
      <c r="M54" s="8">
        <v>158.95</v>
      </c>
      <c r="N54" s="8">
        <v>184.9</v>
      </c>
      <c r="O54" s="8">
        <v>138.74</v>
      </c>
      <c r="P54" s="8">
        <v>121.76</v>
      </c>
      <c r="Q54" s="8">
        <v>117.08</v>
      </c>
      <c r="R54" s="8">
        <v>105.73</v>
      </c>
      <c r="S54" s="8">
        <v>101.05</v>
      </c>
      <c r="T54" s="9">
        <v>107.6</v>
      </c>
    </row>
    <row r="55" spans="1:20" ht="12.75">
      <c r="A55" s="1">
        <f t="shared" si="0"/>
        <v>49</v>
      </c>
      <c r="B55" s="4" t="s">
        <v>451</v>
      </c>
      <c r="C55" s="8">
        <v>220.3</v>
      </c>
      <c r="D55" s="8">
        <v>205.1</v>
      </c>
      <c r="E55" s="8">
        <v>193.6</v>
      </c>
      <c r="F55" s="8">
        <v>155.86</v>
      </c>
      <c r="G55" s="8">
        <v>151.18</v>
      </c>
      <c r="H55" s="8">
        <v>129.38</v>
      </c>
      <c r="I55" s="8">
        <v>124.7</v>
      </c>
      <c r="J55" s="8">
        <v>200.2</v>
      </c>
      <c r="K55" s="8">
        <v>178.38</v>
      </c>
      <c r="L55" s="8">
        <v>173.7</v>
      </c>
      <c r="M55" s="8">
        <v>157.56</v>
      </c>
      <c r="N55" s="8">
        <v>183.4</v>
      </c>
      <c r="O55" s="8">
        <v>137.557</v>
      </c>
      <c r="P55" s="8">
        <v>120.53</v>
      </c>
      <c r="Q55" s="8">
        <v>115.85</v>
      </c>
      <c r="R55" s="8">
        <v>104.67</v>
      </c>
      <c r="S55" s="8">
        <v>99.99</v>
      </c>
      <c r="T55" s="9">
        <v>107.6</v>
      </c>
    </row>
    <row r="56" spans="1:20" ht="12.75">
      <c r="A56" s="1">
        <f t="shared" si="0"/>
        <v>50</v>
      </c>
      <c r="B56" s="4" t="s">
        <v>452</v>
      </c>
      <c r="C56" s="8">
        <v>220.3</v>
      </c>
      <c r="D56" s="8">
        <v>205.1</v>
      </c>
      <c r="E56" s="8">
        <v>193.6</v>
      </c>
      <c r="F56" s="8">
        <v>155.86</v>
      </c>
      <c r="G56" s="8">
        <v>151.18</v>
      </c>
      <c r="H56" s="8">
        <v>129.38</v>
      </c>
      <c r="I56" s="8">
        <v>124.7</v>
      </c>
      <c r="J56" s="8">
        <v>200.2</v>
      </c>
      <c r="K56" s="8">
        <v>178.38</v>
      </c>
      <c r="L56" s="8">
        <v>173.7</v>
      </c>
      <c r="M56" s="8">
        <v>157.56</v>
      </c>
      <c r="N56" s="8">
        <v>183.4</v>
      </c>
      <c r="O56" s="8">
        <v>137.57</v>
      </c>
      <c r="P56" s="8">
        <v>120.53</v>
      </c>
      <c r="Q56" s="8">
        <v>115.85</v>
      </c>
      <c r="R56" s="8">
        <v>104.67</v>
      </c>
      <c r="S56" s="8">
        <v>99.99</v>
      </c>
      <c r="T56" s="9">
        <v>107.6</v>
      </c>
    </row>
    <row r="57" spans="1:20" ht="12.75">
      <c r="A57" s="1">
        <f t="shared" si="0"/>
        <v>51</v>
      </c>
      <c r="B57" s="4" t="s">
        <v>453</v>
      </c>
      <c r="C57" s="8">
        <v>219.3</v>
      </c>
      <c r="D57" s="8">
        <v>204</v>
      </c>
      <c r="E57" s="8">
        <v>191.2</v>
      </c>
      <c r="F57" s="8">
        <v>153.94</v>
      </c>
      <c r="G57" s="8">
        <v>149.26</v>
      </c>
      <c r="H57" s="8">
        <v>127.72</v>
      </c>
      <c r="I57" s="8">
        <v>123.04</v>
      </c>
      <c r="J57" s="8">
        <v>197.8</v>
      </c>
      <c r="K57" s="8">
        <v>176.46</v>
      </c>
      <c r="L57" s="8">
        <v>171.78</v>
      </c>
      <c r="M57" s="8">
        <v>154.45</v>
      </c>
      <c r="N57" s="8">
        <v>180</v>
      </c>
      <c r="O57" s="8">
        <v>135.57</v>
      </c>
      <c r="P57" s="8">
        <v>118.5</v>
      </c>
      <c r="Q57" s="8">
        <v>113.82</v>
      </c>
      <c r="R57" s="8">
        <v>102.92</v>
      </c>
      <c r="S57" s="8">
        <v>98.24</v>
      </c>
      <c r="T57" s="9">
        <v>107.6</v>
      </c>
    </row>
    <row r="58" spans="1:20" ht="12.75">
      <c r="A58" s="1">
        <f t="shared" si="0"/>
        <v>52</v>
      </c>
      <c r="B58" s="4" t="s">
        <v>455</v>
      </c>
      <c r="C58" s="8">
        <v>217.3</v>
      </c>
      <c r="D58" s="8">
        <v>201.6</v>
      </c>
      <c r="E58" s="8">
        <v>188.9</v>
      </c>
      <c r="F58" s="8">
        <v>151.62</v>
      </c>
      <c r="G58" s="8">
        <v>146.94</v>
      </c>
      <c r="H58" s="8">
        <v>125.72</v>
      </c>
      <c r="I58" s="8">
        <v>121.04</v>
      </c>
      <c r="J58" s="8">
        <v>195.5</v>
      </c>
      <c r="K58" s="8">
        <v>174.14</v>
      </c>
      <c r="L58" s="8">
        <v>169.46</v>
      </c>
      <c r="M58" s="8">
        <v>151.45</v>
      </c>
      <c r="N58" s="8">
        <v>176.7</v>
      </c>
      <c r="O58" s="8">
        <v>133.47</v>
      </c>
      <c r="P58" s="8">
        <v>116.5</v>
      </c>
      <c r="Q58" s="8">
        <v>111.82</v>
      </c>
      <c r="R58" s="8">
        <v>101.19</v>
      </c>
      <c r="S58" s="8">
        <v>96.51</v>
      </c>
      <c r="T58" s="9">
        <v>106.6</v>
      </c>
    </row>
    <row r="59" spans="2:20" ht="13.5" thickBot="1">
      <c r="B59" s="2" t="s">
        <v>65</v>
      </c>
      <c r="C59" s="16">
        <f>SUM(C8:C58)/52</f>
        <v>212.30384615384614</v>
      </c>
      <c r="D59" s="16">
        <f aca="true" t="shared" si="1" ref="D59:T59">SUM(D8:D58)/52</f>
        <v>198.82692307692304</v>
      </c>
      <c r="E59" s="16">
        <f t="shared" si="1"/>
        <v>180.27307692307699</v>
      </c>
      <c r="F59" s="16">
        <f t="shared" si="1"/>
        <v>148.0823076923077</v>
      </c>
      <c r="G59" s="16">
        <f t="shared" si="1"/>
        <v>144.14307692307693</v>
      </c>
      <c r="H59" s="16">
        <f t="shared" si="1"/>
        <v>123.22365384615385</v>
      </c>
      <c r="I59" s="16">
        <f t="shared" si="1"/>
        <v>119.19288461538461</v>
      </c>
      <c r="J59" s="16">
        <f t="shared" si="1"/>
        <v>186.15519230769235</v>
      </c>
      <c r="K59" s="16">
        <f t="shared" si="1"/>
        <v>168.16442307692307</v>
      </c>
      <c r="L59" s="16">
        <f t="shared" si="1"/>
        <v>164.20884615384614</v>
      </c>
      <c r="M59" s="16">
        <f t="shared" si="1"/>
        <v>149.81076923076927</v>
      </c>
      <c r="N59" s="16">
        <f t="shared" si="1"/>
        <v>172.83076923076925</v>
      </c>
      <c r="O59" s="16">
        <f t="shared" si="1"/>
        <v>125.68475000000004</v>
      </c>
      <c r="P59" s="16">
        <f t="shared" si="1"/>
        <v>112.74461538461539</v>
      </c>
      <c r="Q59" s="16">
        <f t="shared" si="1"/>
        <v>108.74673076923071</v>
      </c>
      <c r="R59" s="16">
        <f t="shared" si="1"/>
        <v>97.85442307692307</v>
      </c>
      <c r="S59" s="16">
        <f t="shared" si="1"/>
        <v>93.86038461538462</v>
      </c>
      <c r="T59" s="16">
        <f t="shared" si="1"/>
        <v>100.81365384615388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140625" defaultRowHeight="12.75" outlineLevelRow="1"/>
  <cols>
    <col min="1" max="1" width="3.00390625" style="0" bestFit="1" customWidth="1"/>
    <col min="2" max="2" width="25.8515625" style="0" customWidth="1"/>
    <col min="3" max="4" width="9.00390625" style="0" customWidth="1"/>
    <col min="5" max="5" width="10.140625" style="0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454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456</v>
      </c>
      <c r="C7" s="8">
        <v>217.3</v>
      </c>
      <c r="D7" s="8">
        <v>201.6</v>
      </c>
      <c r="E7" s="8">
        <v>188.9</v>
      </c>
      <c r="F7" s="8">
        <v>151.62</v>
      </c>
      <c r="G7" s="8">
        <v>146.94</v>
      </c>
      <c r="H7" s="8">
        <v>125.72</v>
      </c>
      <c r="I7" s="8">
        <v>121.04</v>
      </c>
      <c r="J7" s="8">
        <v>195.5</v>
      </c>
      <c r="K7" s="8">
        <v>174.14</v>
      </c>
      <c r="L7" s="8">
        <v>169.46</v>
      </c>
      <c r="M7" s="8">
        <v>0</v>
      </c>
      <c r="N7" s="8">
        <v>151.45</v>
      </c>
      <c r="O7" s="8">
        <v>176.7</v>
      </c>
      <c r="P7" s="8">
        <v>133.47</v>
      </c>
      <c r="Q7" s="8">
        <v>116.5</v>
      </c>
      <c r="R7" s="8">
        <v>111.82</v>
      </c>
      <c r="S7" s="8">
        <v>101.19</v>
      </c>
      <c r="T7" s="8">
        <v>96.51</v>
      </c>
      <c r="U7" s="6">
        <v>106.6</v>
      </c>
    </row>
    <row r="8" spans="1:21" ht="12.75">
      <c r="A8" s="1">
        <f>A7+1</f>
        <v>2</v>
      </c>
      <c r="B8" s="4" t="s">
        <v>457</v>
      </c>
      <c r="C8" s="8">
        <v>219.8</v>
      </c>
      <c r="D8" s="8">
        <v>204</v>
      </c>
      <c r="E8" s="8">
        <v>191</v>
      </c>
      <c r="F8" s="8">
        <v>153.59</v>
      </c>
      <c r="G8" s="8">
        <v>148.91</v>
      </c>
      <c r="H8" s="8">
        <v>127.42</v>
      </c>
      <c r="I8" s="8">
        <v>122.74</v>
      </c>
      <c r="J8" s="8">
        <v>197.6</v>
      </c>
      <c r="K8" s="8">
        <v>176.11</v>
      </c>
      <c r="L8" s="8">
        <v>171.43</v>
      </c>
      <c r="M8" s="8">
        <v>0</v>
      </c>
      <c r="N8" s="8">
        <v>153.84</v>
      </c>
      <c r="O8" s="8">
        <v>179.3</v>
      </c>
      <c r="P8" s="8">
        <v>135.17</v>
      </c>
      <c r="Q8" s="8">
        <v>118.11</v>
      </c>
      <c r="R8" s="8">
        <v>113.43</v>
      </c>
      <c r="S8" s="8">
        <v>102.58</v>
      </c>
      <c r="T8" s="8">
        <v>97.9</v>
      </c>
      <c r="U8" s="9">
        <v>107.6</v>
      </c>
    </row>
    <row r="9" spans="1:21" ht="12.75">
      <c r="A9" s="1">
        <f>A8+1</f>
        <v>3</v>
      </c>
      <c r="B9" s="4" t="s">
        <v>458</v>
      </c>
      <c r="C9" s="8">
        <v>222.6</v>
      </c>
      <c r="D9" s="8">
        <v>206.5</v>
      </c>
      <c r="E9" s="8">
        <v>192.8</v>
      </c>
      <c r="F9" s="8">
        <v>155.46</v>
      </c>
      <c r="G9" s="8">
        <v>150.78</v>
      </c>
      <c r="H9" s="8">
        <v>129.03</v>
      </c>
      <c r="I9" s="8">
        <v>124.35</v>
      </c>
      <c r="J9" s="8">
        <v>199.4</v>
      </c>
      <c r="K9" s="8">
        <v>177.98</v>
      </c>
      <c r="L9" s="8">
        <v>173.3</v>
      </c>
      <c r="M9" s="8">
        <v>0</v>
      </c>
      <c r="N9" s="8">
        <v>156.1</v>
      </c>
      <c r="O9" s="8">
        <v>181.8</v>
      </c>
      <c r="P9" s="8">
        <v>136.87</v>
      </c>
      <c r="Q9" s="8">
        <v>119.79</v>
      </c>
      <c r="R9" s="8">
        <v>115.11</v>
      </c>
      <c r="S9" s="8">
        <v>104.03</v>
      </c>
      <c r="T9" s="8">
        <v>99.35</v>
      </c>
      <c r="U9" s="9">
        <v>107.6</v>
      </c>
    </row>
    <row r="10" spans="1:21" ht="12.75">
      <c r="A10" s="1">
        <f aca="true" t="shared" si="0" ref="A10:A59">A9+1</f>
        <v>4</v>
      </c>
      <c r="B10" s="4" t="s">
        <v>459</v>
      </c>
      <c r="C10" s="8">
        <v>222.6</v>
      </c>
      <c r="D10" s="8">
        <v>206.5</v>
      </c>
      <c r="E10" s="8">
        <v>192.8</v>
      </c>
      <c r="F10" s="8">
        <v>155.46</v>
      </c>
      <c r="G10" s="8">
        <v>150.78</v>
      </c>
      <c r="H10" s="8">
        <v>129.03</v>
      </c>
      <c r="I10" s="8">
        <v>124.35</v>
      </c>
      <c r="J10" s="8">
        <v>199.4</v>
      </c>
      <c r="K10" s="8">
        <v>177.98</v>
      </c>
      <c r="L10" s="8">
        <v>173.3</v>
      </c>
      <c r="M10" s="8">
        <v>0</v>
      </c>
      <c r="N10" s="8">
        <v>156.1</v>
      </c>
      <c r="O10" s="8">
        <v>181.8</v>
      </c>
      <c r="P10" s="8">
        <v>136.87</v>
      </c>
      <c r="Q10" s="8">
        <v>119.79</v>
      </c>
      <c r="R10" s="8">
        <v>115.11</v>
      </c>
      <c r="S10" s="8">
        <v>104.03</v>
      </c>
      <c r="T10" s="8">
        <v>99.35</v>
      </c>
      <c r="U10" s="9">
        <v>107.6</v>
      </c>
    </row>
    <row r="11" spans="1:21" ht="12.75">
      <c r="A11" s="1">
        <f t="shared" si="0"/>
        <v>5</v>
      </c>
      <c r="B11" s="4" t="s">
        <v>460</v>
      </c>
      <c r="C11" s="8">
        <v>222.6</v>
      </c>
      <c r="D11" s="8">
        <v>206.5</v>
      </c>
      <c r="E11" s="8">
        <v>192.8</v>
      </c>
      <c r="F11" s="8">
        <v>155.46</v>
      </c>
      <c r="G11" s="8">
        <v>150.78</v>
      </c>
      <c r="H11" s="8">
        <v>129.03</v>
      </c>
      <c r="I11" s="8">
        <v>124.35</v>
      </c>
      <c r="J11" s="8">
        <v>199.4</v>
      </c>
      <c r="K11" s="8">
        <v>177.98</v>
      </c>
      <c r="L11" s="8">
        <v>173.3</v>
      </c>
      <c r="M11" s="8">
        <v>0</v>
      </c>
      <c r="N11" s="8">
        <v>156.1</v>
      </c>
      <c r="O11" s="8">
        <v>181.8</v>
      </c>
      <c r="P11" s="8">
        <v>136.87</v>
      </c>
      <c r="Q11" s="8">
        <v>119.79</v>
      </c>
      <c r="R11" s="8">
        <v>115.11</v>
      </c>
      <c r="S11" s="8">
        <v>104.03</v>
      </c>
      <c r="T11" s="8">
        <v>99.35</v>
      </c>
      <c r="U11" s="9">
        <v>107.6</v>
      </c>
    </row>
    <row r="12" spans="1:21" ht="12.75">
      <c r="A12" s="1">
        <f t="shared" si="0"/>
        <v>6</v>
      </c>
      <c r="B12" s="4" t="s">
        <v>461</v>
      </c>
      <c r="C12" s="8">
        <v>225.3</v>
      </c>
      <c r="D12" s="8">
        <v>209</v>
      </c>
      <c r="E12" s="8">
        <v>195.4</v>
      </c>
      <c r="F12" s="8">
        <v>158.08</v>
      </c>
      <c r="G12" s="8">
        <v>153.4</v>
      </c>
      <c r="H12" s="8">
        <v>131.29</v>
      </c>
      <c r="I12" s="8">
        <v>126.61</v>
      </c>
      <c r="J12" s="8">
        <v>202</v>
      </c>
      <c r="K12" s="8">
        <v>180.66</v>
      </c>
      <c r="L12" s="8">
        <v>175.98</v>
      </c>
      <c r="M12" s="8">
        <v>0</v>
      </c>
      <c r="N12" s="8">
        <v>158.8</v>
      </c>
      <c r="O12" s="8">
        <v>184.7</v>
      </c>
      <c r="P12" s="8">
        <v>139.99</v>
      </c>
      <c r="Q12" s="8">
        <v>122.85</v>
      </c>
      <c r="R12" s="8">
        <v>118.17</v>
      </c>
      <c r="S12" s="8">
        <v>106.67</v>
      </c>
      <c r="T12" s="8">
        <v>101.99</v>
      </c>
      <c r="U12" s="9">
        <v>107.6</v>
      </c>
    </row>
    <row r="13" spans="1:21" ht="12.75">
      <c r="A13" s="1">
        <f t="shared" si="0"/>
        <v>7</v>
      </c>
      <c r="B13" s="4" t="s">
        <v>462</v>
      </c>
      <c r="C13" s="8">
        <v>225.3</v>
      </c>
      <c r="D13" s="8">
        <v>209</v>
      </c>
      <c r="E13" s="8">
        <v>195.4</v>
      </c>
      <c r="F13" s="8">
        <v>158.08</v>
      </c>
      <c r="G13" s="8">
        <v>153.4</v>
      </c>
      <c r="H13" s="8">
        <v>131.29</v>
      </c>
      <c r="I13" s="8">
        <v>126.61</v>
      </c>
      <c r="J13" s="8">
        <v>202</v>
      </c>
      <c r="K13" s="8">
        <v>180.66</v>
      </c>
      <c r="L13" s="8">
        <v>175.98</v>
      </c>
      <c r="M13" s="8">
        <v>0</v>
      </c>
      <c r="N13" s="8">
        <v>158.8</v>
      </c>
      <c r="O13" s="8">
        <v>184.7</v>
      </c>
      <c r="P13" s="8">
        <v>139.99</v>
      </c>
      <c r="Q13" s="8">
        <v>122.85</v>
      </c>
      <c r="R13" s="8">
        <v>118.17</v>
      </c>
      <c r="S13" s="8">
        <v>106.67</v>
      </c>
      <c r="T13" s="8">
        <v>101.99</v>
      </c>
      <c r="U13" s="9">
        <v>107.6</v>
      </c>
    </row>
    <row r="14" spans="1:21" ht="12.75">
      <c r="A14" s="1">
        <f t="shared" si="0"/>
        <v>8</v>
      </c>
      <c r="B14" s="4" t="s">
        <v>463</v>
      </c>
      <c r="C14" s="8">
        <v>227.5</v>
      </c>
      <c r="D14" s="8">
        <v>211.1</v>
      </c>
      <c r="E14" s="8">
        <v>197.1</v>
      </c>
      <c r="F14" s="8">
        <v>159.74</v>
      </c>
      <c r="G14" s="8">
        <v>155.06</v>
      </c>
      <c r="H14" s="8">
        <v>132.72</v>
      </c>
      <c r="I14" s="8">
        <v>128.04</v>
      </c>
      <c r="J14" s="8">
        <v>203.7</v>
      </c>
      <c r="K14" s="8">
        <v>182.32</v>
      </c>
      <c r="L14" s="8">
        <v>177.64</v>
      </c>
      <c r="M14" s="8">
        <v>0</v>
      </c>
      <c r="N14" s="8">
        <v>161.1</v>
      </c>
      <c r="O14" s="38">
        <v>187.6</v>
      </c>
      <c r="P14" s="8">
        <v>142.39</v>
      </c>
      <c r="Q14" s="8">
        <v>125.2</v>
      </c>
      <c r="R14" s="8">
        <v>120.52</v>
      </c>
      <c r="S14" s="8">
        <v>108.69</v>
      </c>
      <c r="T14" s="8">
        <v>104.01</v>
      </c>
      <c r="U14" s="9">
        <v>105</v>
      </c>
    </row>
    <row r="15" spans="1:21" ht="12.75">
      <c r="A15" s="1">
        <f t="shared" si="0"/>
        <v>9</v>
      </c>
      <c r="B15" s="4" t="s">
        <v>464</v>
      </c>
      <c r="C15" s="8">
        <v>227.5</v>
      </c>
      <c r="D15" s="8">
        <v>211.1</v>
      </c>
      <c r="E15" s="8">
        <v>197.1</v>
      </c>
      <c r="F15" s="8">
        <v>159.74</v>
      </c>
      <c r="G15" s="8">
        <v>155.06</v>
      </c>
      <c r="H15" s="8">
        <v>132.72</v>
      </c>
      <c r="I15" s="8">
        <v>128.04</v>
      </c>
      <c r="J15" s="8">
        <v>203.7</v>
      </c>
      <c r="K15" s="8">
        <v>182.32</v>
      </c>
      <c r="L15" s="8">
        <v>177.64</v>
      </c>
      <c r="M15" s="8">
        <v>0</v>
      </c>
      <c r="N15" s="8">
        <v>161.1</v>
      </c>
      <c r="O15" s="38">
        <v>187.6</v>
      </c>
      <c r="P15" s="8">
        <v>142.39</v>
      </c>
      <c r="Q15" s="8">
        <v>125.2</v>
      </c>
      <c r="R15" s="8">
        <v>120.52</v>
      </c>
      <c r="S15" s="8">
        <v>108.69</v>
      </c>
      <c r="T15" s="8">
        <v>104.01</v>
      </c>
      <c r="U15" s="9">
        <v>105</v>
      </c>
    </row>
    <row r="16" spans="1:21" ht="12.75">
      <c r="A16" s="1">
        <f t="shared" si="0"/>
        <v>10</v>
      </c>
      <c r="B16" s="4" t="s">
        <v>465</v>
      </c>
      <c r="C16" s="8">
        <v>227.5</v>
      </c>
      <c r="D16" s="8">
        <v>211.1</v>
      </c>
      <c r="E16" s="8">
        <v>197.1</v>
      </c>
      <c r="F16" s="8">
        <v>159.74</v>
      </c>
      <c r="G16" s="8">
        <v>155.06</v>
      </c>
      <c r="H16" s="8">
        <v>132.72</v>
      </c>
      <c r="I16" s="8">
        <v>128.04</v>
      </c>
      <c r="J16" s="8">
        <v>203.7</v>
      </c>
      <c r="K16" s="8">
        <v>182.32</v>
      </c>
      <c r="L16" s="8">
        <v>177.64</v>
      </c>
      <c r="M16" s="8">
        <v>0</v>
      </c>
      <c r="N16" s="8">
        <v>161.1</v>
      </c>
      <c r="O16" s="38">
        <v>187.6</v>
      </c>
      <c r="P16" s="8">
        <v>142.39</v>
      </c>
      <c r="Q16" s="8">
        <v>125.2</v>
      </c>
      <c r="R16" s="8">
        <v>120.52</v>
      </c>
      <c r="S16" s="8">
        <v>108.69</v>
      </c>
      <c r="T16" s="8">
        <v>104.01</v>
      </c>
      <c r="U16" s="9">
        <v>105</v>
      </c>
    </row>
    <row r="17" spans="1:21" ht="12.75">
      <c r="A17" s="1">
        <f t="shared" si="0"/>
        <v>11</v>
      </c>
      <c r="B17" s="4" t="s">
        <v>466</v>
      </c>
      <c r="C17" s="8">
        <v>227.5</v>
      </c>
      <c r="D17" s="8">
        <v>211.1</v>
      </c>
      <c r="E17" s="8">
        <v>197.1</v>
      </c>
      <c r="F17" s="8">
        <v>159.74</v>
      </c>
      <c r="G17" s="8">
        <v>155.06</v>
      </c>
      <c r="H17" s="8">
        <v>132.72</v>
      </c>
      <c r="I17" s="8">
        <v>128.04</v>
      </c>
      <c r="J17" s="8">
        <v>203.7</v>
      </c>
      <c r="K17" s="8">
        <v>182.32</v>
      </c>
      <c r="L17" s="8">
        <v>177.64</v>
      </c>
      <c r="M17" s="8">
        <v>0</v>
      </c>
      <c r="N17" s="8">
        <v>161.1</v>
      </c>
      <c r="O17" s="38">
        <v>187.6</v>
      </c>
      <c r="P17" s="8">
        <v>142.39</v>
      </c>
      <c r="Q17" s="8">
        <v>125.2</v>
      </c>
      <c r="R17" s="8">
        <v>120.52</v>
      </c>
      <c r="S17" s="8">
        <v>108.69</v>
      </c>
      <c r="T17" s="8">
        <v>104.01</v>
      </c>
      <c r="U17" s="9">
        <v>105</v>
      </c>
    </row>
    <row r="18" spans="1:21" ht="12.75">
      <c r="A18" s="1">
        <f t="shared" si="0"/>
        <v>12</v>
      </c>
      <c r="B18" s="4" t="s">
        <v>654</v>
      </c>
      <c r="C18" s="17">
        <v>229.9</v>
      </c>
      <c r="D18" s="17">
        <v>213.8</v>
      </c>
      <c r="E18" s="17">
        <v>199.4</v>
      </c>
      <c r="F18" s="17">
        <v>161.55</v>
      </c>
      <c r="G18" s="17">
        <v>156.87</v>
      </c>
      <c r="H18" s="17">
        <v>134.28</v>
      </c>
      <c r="I18" s="17">
        <v>129.6</v>
      </c>
      <c r="J18" s="17">
        <v>206</v>
      </c>
      <c r="K18" s="17">
        <v>184.13</v>
      </c>
      <c r="L18" s="17">
        <v>179.45</v>
      </c>
      <c r="M18" s="17">
        <v>0</v>
      </c>
      <c r="N18" s="17">
        <v>163.1</v>
      </c>
      <c r="O18" s="17">
        <v>189.8</v>
      </c>
      <c r="P18" s="17">
        <v>144.38</v>
      </c>
      <c r="Q18" s="17">
        <v>127.19</v>
      </c>
      <c r="R18" s="17">
        <v>122.51</v>
      </c>
      <c r="S18" s="17">
        <v>110.41</v>
      </c>
      <c r="T18" s="17">
        <v>105.73</v>
      </c>
      <c r="U18" s="18">
        <v>103.4</v>
      </c>
    </row>
    <row r="19" spans="1:21" ht="12.75">
      <c r="A19" s="1">
        <f t="shared" si="0"/>
        <v>13</v>
      </c>
      <c r="B19" s="4" t="s">
        <v>655</v>
      </c>
      <c r="C19" s="17">
        <v>229.9</v>
      </c>
      <c r="D19" s="17">
        <v>213.8</v>
      </c>
      <c r="E19" s="17">
        <v>199.4</v>
      </c>
      <c r="F19" s="17">
        <v>161.55</v>
      </c>
      <c r="G19" s="17">
        <v>156.87</v>
      </c>
      <c r="H19" s="17">
        <v>134.28</v>
      </c>
      <c r="I19" s="17">
        <v>129.6</v>
      </c>
      <c r="J19" s="17">
        <v>206</v>
      </c>
      <c r="K19" s="17">
        <v>184.13</v>
      </c>
      <c r="L19" s="17">
        <v>179.45</v>
      </c>
      <c r="M19" s="17">
        <v>0</v>
      </c>
      <c r="N19" s="17">
        <v>163.1</v>
      </c>
      <c r="O19" s="17">
        <v>189.8</v>
      </c>
      <c r="P19" s="17">
        <v>144.38</v>
      </c>
      <c r="Q19" s="17">
        <v>127.19</v>
      </c>
      <c r="R19" s="17">
        <v>122.51</v>
      </c>
      <c r="S19" s="17">
        <v>110.41</v>
      </c>
      <c r="T19" s="17">
        <v>105.73</v>
      </c>
      <c r="U19" s="18">
        <v>103.4</v>
      </c>
    </row>
    <row r="20" spans="1:21" ht="12.75">
      <c r="A20" s="1">
        <f t="shared" si="0"/>
        <v>14</v>
      </c>
      <c r="B20" s="4" t="s">
        <v>656</v>
      </c>
      <c r="C20" s="17">
        <v>229.9</v>
      </c>
      <c r="D20" s="17">
        <v>213.8</v>
      </c>
      <c r="E20" s="17">
        <v>199.4</v>
      </c>
      <c r="F20" s="17">
        <v>161.55</v>
      </c>
      <c r="G20" s="17">
        <v>156.87</v>
      </c>
      <c r="H20" s="17">
        <v>134.28</v>
      </c>
      <c r="I20" s="17">
        <v>129.6</v>
      </c>
      <c r="J20" s="17">
        <v>206</v>
      </c>
      <c r="K20" s="17">
        <v>184.13</v>
      </c>
      <c r="L20" s="17">
        <v>179.45</v>
      </c>
      <c r="M20" s="17">
        <v>0</v>
      </c>
      <c r="N20" s="17">
        <v>163.1</v>
      </c>
      <c r="O20" s="17">
        <v>189.8</v>
      </c>
      <c r="P20" s="17">
        <v>144.38</v>
      </c>
      <c r="Q20" s="17">
        <v>127.19</v>
      </c>
      <c r="R20" s="17">
        <v>122.51</v>
      </c>
      <c r="S20" s="17">
        <v>110.41</v>
      </c>
      <c r="T20" s="17">
        <v>105.73</v>
      </c>
      <c r="U20" s="18">
        <v>103.4</v>
      </c>
    </row>
    <row r="21" spans="1:21" ht="12.75">
      <c r="A21" s="1">
        <f t="shared" si="0"/>
        <v>15</v>
      </c>
      <c r="B21" s="4" t="s">
        <v>657</v>
      </c>
      <c r="C21" s="17">
        <v>229.9</v>
      </c>
      <c r="D21" s="17">
        <v>213.8</v>
      </c>
      <c r="E21" s="17">
        <v>199.4</v>
      </c>
      <c r="F21" s="17">
        <v>161.55</v>
      </c>
      <c r="G21" s="17">
        <v>156.87</v>
      </c>
      <c r="H21" s="17">
        <v>134.28</v>
      </c>
      <c r="I21" s="17">
        <v>129.6</v>
      </c>
      <c r="J21" s="17">
        <v>206</v>
      </c>
      <c r="K21" s="17">
        <v>184.13</v>
      </c>
      <c r="L21" s="17">
        <v>179.45</v>
      </c>
      <c r="M21" s="17">
        <v>0</v>
      </c>
      <c r="N21" s="17">
        <v>163.1</v>
      </c>
      <c r="O21" s="17">
        <v>189.8</v>
      </c>
      <c r="P21" s="17">
        <v>144.38</v>
      </c>
      <c r="Q21" s="17">
        <v>127.19</v>
      </c>
      <c r="R21" s="17">
        <v>122.51</v>
      </c>
      <c r="S21" s="17">
        <v>110.41</v>
      </c>
      <c r="T21" s="17">
        <v>105.73</v>
      </c>
      <c r="U21" s="18">
        <v>103.4</v>
      </c>
    </row>
    <row r="22" spans="1:21" ht="12.75">
      <c r="A22" s="1">
        <f t="shared" si="0"/>
        <v>16</v>
      </c>
      <c r="B22" s="4" t="s">
        <v>658</v>
      </c>
      <c r="C22" s="17">
        <v>229.9</v>
      </c>
      <c r="D22" s="17">
        <v>213.8</v>
      </c>
      <c r="E22" s="17">
        <v>199.4</v>
      </c>
      <c r="F22" s="17">
        <v>161.55</v>
      </c>
      <c r="G22" s="17">
        <v>156.87</v>
      </c>
      <c r="H22" s="17">
        <v>134.28</v>
      </c>
      <c r="I22" s="17">
        <v>129.6</v>
      </c>
      <c r="J22" s="17">
        <v>206</v>
      </c>
      <c r="K22" s="17">
        <v>184.13</v>
      </c>
      <c r="L22" s="17">
        <v>179.45</v>
      </c>
      <c r="M22" s="17">
        <v>0</v>
      </c>
      <c r="N22" s="17">
        <v>163.1</v>
      </c>
      <c r="O22" s="17">
        <v>189.8</v>
      </c>
      <c r="P22" s="17">
        <v>144.38</v>
      </c>
      <c r="Q22" s="17">
        <v>127.19</v>
      </c>
      <c r="R22" s="17">
        <v>122.51</v>
      </c>
      <c r="S22" s="17">
        <v>110.41</v>
      </c>
      <c r="T22" s="17">
        <v>105.73</v>
      </c>
      <c r="U22" s="18">
        <v>103.4</v>
      </c>
    </row>
    <row r="23" spans="1:21" ht="12.75">
      <c r="A23" s="1">
        <f t="shared" si="0"/>
        <v>17</v>
      </c>
      <c r="B23" s="4" t="s">
        <v>659</v>
      </c>
      <c r="C23" s="17">
        <v>229.9</v>
      </c>
      <c r="D23" s="17">
        <v>213.8</v>
      </c>
      <c r="E23" s="17">
        <v>199.4</v>
      </c>
      <c r="F23" s="17">
        <v>161.55</v>
      </c>
      <c r="G23" s="17">
        <v>156.87</v>
      </c>
      <c r="H23" s="17">
        <v>134.28</v>
      </c>
      <c r="I23" s="17">
        <v>129.6</v>
      </c>
      <c r="J23" s="17">
        <v>206</v>
      </c>
      <c r="K23" s="17">
        <v>184.13</v>
      </c>
      <c r="L23" s="17">
        <v>179.45</v>
      </c>
      <c r="M23" s="17">
        <v>0</v>
      </c>
      <c r="N23" s="17">
        <v>163.1</v>
      </c>
      <c r="O23" s="17">
        <v>189.8</v>
      </c>
      <c r="P23" s="17">
        <v>144.38</v>
      </c>
      <c r="Q23" s="17">
        <v>127.19</v>
      </c>
      <c r="R23" s="17">
        <v>122.51</v>
      </c>
      <c r="S23" s="17">
        <v>110.41</v>
      </c>
      <c r="T23" s="17">
        <v>105.73</v>
      </c>
      <c r="U23" s="18">
        <v>103.4</v>
      </c>
    </row>
    <row r="24" spans="1:21" ht="12.75">
      <c r="A24" s="1">
        <f t="shared" si="0"/>
        <v>18</v>
      </c>
      <c r="B24" s="4" t="s">
        <v>660</v>
      </c>
      <c r="C24" s="17">
        <v>229.9</v>
      </c>
      <c r="D24" s="17">
        <v>213.8</v>
      </c>
      <c r="E24" s="17">
        <v>199.4</v>
      </c>
      <c r="F24" s="17">
        <v>161.55</v>
      </c>
      <c r="G24" s="17">
        <v>156.87</v>
      </c>
      <c r="H24" s="17">
        <v>134.28</v>
      </c>
      <c r="I24" s="17">
        <v>129.6</v>
      </c>
      <c r="J24" s="17">
        <v>206</v>
      </c>
      <c r="K24" s="17">
        <v>184.13</v>
      </c>
      <c r="L24" s="17">
        <v>179.45</v>
      </c>
      <c r="M24" s="17">
        <v>0</v>
      </c>
      <c r="N24" s="17">
        <v>163.1</v>
      </c>
      <c r="O24" s="17">
        <v>189.8</v>
      </c>
      <c r="P24" s="17">
        <v>144.38</v>
      </c>
      <c r="Q24" s="17">
        <v>127.19</v>
      </c>
      <c r="R24" s="17">
        <v>122.51</v>
      </c>
      <c r="S24" s="17">
        <v>110.41</v>
      </c>
      <c r="T24" s="17">
        <v>105.73</v>
      </c>
      <c r="U24" s="18">
        <v>103.4</v>
      </c>
    </row>
    <row r="25" spans="1:21" ht="12.75">
      <c r="A25" s="1">
        <f t="shared" si="0"/>
        <v>19</v>
      </c>
      <c r="B25" s="4" t="s">
        <v>664</v>
      </c>
      <c r="C25" s="8">
        <v>229.9</v>
      </c>
      <c r="D25" s="8">
        <v>213.8</v>
      </c>
      <c r="E25" s="8">
        <v>199.4</v>
      </c>
      <c r="F25" s="8">
        <v>161.55</v>
      </c>
      <c r="G25" s="8">
        <v>156.87</v>
      </c>
      <c r="H25" s="8">
        <v>134.28</v>
      </c>
      <c r="I25" s="8">
        <v>129.6</v>
      </c>
      <c r="J25" s="8">
        <v>206</v>
      </c>
      <c r="K25" s="8">
        <v>184.13</v>
      </c>
      <c r="L25" s="8">
        <v>179.45</v>
      </c>
      <c r="M25" s="8">
        <v>0</v>
      </c>
      <c r="N25" s="8">
        <v>163.1</v>
      </c>
      <c r="O25" s="8">
        <v>189.8</v>
      </c>
      <c r="P25" s="8">
        <v>144.38</v>
      </c>
      <c r="Q25" s="8">
        <v>127.19</v>
      </c>
      <c r="R25" s="8">
        <v>122.51</v>
      </c>
      <c r="S25" s="8">
        <v>110.41</v>
      </c>
      <c r="T25" s="8">
        <v>105.73</v>
      </c>
      <c r="U25" s="9">
        <v>103.4</v>
      </c>
    </row>
    <row r="26" spans="1:21" ht="12.75">
      <c r="A26" s="1">
        <f t="shared" si="0"/>
        <v>20</v>
      </c>
      <c r="B26" s="4" t="s">
        <v>665</v>
      </c>
      <c r="C26" s="8">
        <v>229.9</v>
      </c>
      <c r="D26" s="8">
        <v>213.8</v>
      </c>
      <c r="E26" s="8">
        <v>199.4</v>
      </c>
      <c r="F26" s="8">
        <v>161.55</v>
      </c>
      <c r="G26" s="8">
        <v>156.87</v>
      </c>
      <c r="H26" s="8">
        <v>134.28</v>
      </c>
      <c r="I26" s="8">
        <v>129.6</v>
      </c>
      <c r="J26" s="8">
        <v>206</v>
      </c>
      <c r="K26" s="8">
        <v>184.13</v>
      </c>
      <c r="L26" s="8">
        <v>179.45</v>
      </c>
      <c r="M26" s="8">
        <v>0</v>
      </c>
      <c r="N26" s="8">
        <v>163.1</v>
      </c>
      <c r="O26" s="8">
        <v>189.8</v>
      </c>
      <c r="P26" s="8">
        <v>144.38</v>
      </c>
      <c r="Q26" s="8">
        <v>127.19</v>
      </c>
      <c r="R26" s="8">
        <v>122.51</v>
      </c>
      <c r="S26" s="8">
        <v>110.41</v>
      </c>
      <c r="T26" s="8">
        <v>105.73</v>
      </c>
      <c r="U26" s="9">
        <v>100</v>
      </c>
    </row>
    <row r="27" spans="1:21" ht="12.75">
      <c r="A27" s="1">
        <f t="shared" si="0"/>
        <v>21</v>
      </c>
      <c r="B27" s="4" t="s">
        <v>666</v>
      </c>
      <c r="C27" s="8">
        <v>229.9</v>
      </c>
      <c r="D27" s="8">
        <v>213.8</v>
      </c>
      <c r="E27" s="8">
        <v>199.4</v>
      </c>
      <c r="F27" s="8">
        <v>161.55</v>
      </c>
      <c r="G27" s="8">
        <v>156.87</v>
      </c>
      <c r="H27" s="8">
        <v>134.28</v>
      </c>
      <c r="I27" s="8">
        <v>129.6</v>
      </c>
      <c r="J27" s="8">
        <v>206</v>
      </c>
      <c r="K27" s="8">
        <v>184.13</v>
      </c>
      <c r="L27" s="8">
        <v>179.45</v>
      </c>
      <c r="M27" s="8">
        <v>0</v>
      </c>
      <c r="N27" s="8">
        <v>163.1</v>
      </c>
      <c r="O27" s="8">
        <v>189.8</v>
      </c>
      <c r="P27" s="8">
        <v>144.38</v>
      </c>
      <c r="Q27" s="8">
        <v>127.19</v>
      </c>
      <c r="R27" s="8">
        <v>122.51</v>
      </c>
      <c r="S27" s="8">
        <v>110.41</v>
      </c>
      <c r="T27" s="8">
        <v>105.73</v>
      </c>
      <c r="U27" s="9">
        <v>100</v>
      </c>
    </row>
    <row r="28" spans="1:21" ht="12.75">
      <c r="A28" s="1">
        <f t="shared" si="0"/>
        <v>22</v>
      </c>
      <c r="B28" s="4" t="s">
        <v>667</v>
      </c>
      <c r="C28" s="8">
        <v>229.9</v>
      </c>
      <c r="D28" s="8">
        <v>213.8</v>
      </c>
      <c r="E28" s="8">
        <v>199.4</v>
      </c>
      <c r="F28" s="8">
        <v>161.55</v>
      </c>
      <c r="G28" s="8">
        <v>156.87</v>
      </c>
      <c r="H28" s="8">
        <v>134.28</v>
      </c>
      <c r="I28" s="8">
        <v>129.6</v>
      </c>
      <c r="J28" s="8">
        <v>206</v>
      </c>
      <c r="K28" s="8">
        <v>184.13</v>
      </c>
      <c r="L28" s="8">
        <v>179.45</v>
      </c>
      <c r="M28" s="8">
        <v>0</v>
      </c>
      <c r="N28" s="8">
        <v>163.1</v>
      </c>
      <c r="O28" s="8">
        <v>189.8</v>
      </c>
      <c r="P28" s="8">
        <v>144.38</v>
      </c>
      <c r="Q28" s="8">
        <v>127.19</v>
      </c>
      <c r="R28" s="8">
        <v>122.51</v>
      </c>
      <c r="S28" s="8">
        <v>110.41</v>
      </c>
      <c r="T28" s="8">
        <v>105.73</v>
      </c>
      <c r="U28" s="9">
        <v>100</v>
      </c>
    </row>
    <row r="29" spans="1:21" ht="12.75">
      <c r="A29" s="1">
        <f t="shared" si="0"/>
        <v>23</v>
      </c>
      <c r="B29" s="4" t="s">
        <v>668</v>
      </c>
      <c r="C29" s="8">
        <v>229.9</v>
      </c>
      <c r="D29" s="8">
        <v>213.8</v>
      </c>
      <c r="E29" s="8">
        <v>199.4</v>
      </c>
      <c r="F29" s="8">
        <v>161.55</v>
      </c>
      <c r="G29" s="8">
        <v>156.87</v>
      </c>
      <c r="H29" s="8">
        <v>134.28</v>
      </c>
      <c r="I29" s="8">
        <v>129.6</v>
      </c>
      <c r="J29" s="8">
        <v>206</v>
      </c>
      <c r="K29" s="8">
        <v>184.13</v>
      </c>
      <c r="L29" s="8">
        <v>179.45</v>
      </c>
      <c r="M29" s="8">
        <v>0</v>
      </c>
      <c r="N29" s="8">
        <v>163.1</v>
      </c>
      <c r="O29" s="8">
        <v>189.8</v>
      </c>
      <c r="P29" s="8">
        <v>144.38</v>
      </c>
      <c r="Q29" s="8">
        <v>127.19</v>
      </c>
      <c r="R29" s="8">
        <v>122.51</v>
      </c>
      <c r="S29" s="8">
        <v>110.41</v>
      </c>
      <c r="T29" s="8">
        <v>105.73</v>
      </c>
      <c r="U29" s="9">
        <v>100</v>
      </c>
    </row>
    <row r="30" spans="1:21" ht="12.75">
      <c r="A30" s="1">
        <f t="shared" si="0"/>
        <v>24</v>
      </c>
      <c r="B30" s="4" t="s">
        <v>669</v>
      </c>
      <c r="C30" s="8">
        <v>227.4</v>
      </c>
      <c r="D30" s="8">
        <v>211.4</v>
      </c>
      <c r="E30" s="8">
        <v>197.1</v>
      </c>
      <c r="F30" s="8">
        <v>159.66</v>
      </c>
      <c r="G30" s="8">
        <v>154.98</v>
      </c>
      <c r="H30" s="8">
        <v>132.65</v>
      </c>
      <c r="I30" s="8">
        <v>127.97</v>
      </c>
      <c r="J30" s="8">
        <v>203.7</v>
      </c>
      <c r="K30" s="8">
        <v>182.82</v>
      </c>
      <c r="L30" s="8">
        <v>178.14</v>
      </c>
      <c r="M30" s="8">
        <v>0</v>
      </c>
      <c r="N30" s="8">
        <v>160.8</v>
      </c>
      <c r="O30" s="8">
        <v>187.3</v>
      </c>
      <c r="P30" s="8">
        <v>142.3</v>
      </c>
      <c r="Q30" s="8">
        <v>125.07</v>
      </c>
      <c r="R30" s="8">
        <v>120.39</v>
      </c>
      <c r="S30" s="8">
        <v>108.58</v>
      </c>
      <c r="T30" s="8">
        <v>103.9</v>
      </c>
      <c r="U30" s="9">
        <v>98</v>
      </c>
    </row>
    <row r="31" spans="1:21" ht="12.75">
      <c r="A31" s="1">
        <f t="shared" si="0"/>
        <v>25</v>
      </c>
      <c r="B31" s="4" t="s">
        <v>670</v>
      </c>
      <c r="C31" s="8">
        <v>225.2</v>
      </c>
      <c r="D31" s="8">
        <v>208.9</v>
      </c>
      <c r="E31" s="8">
        <v>194.6</v>
      </c>
      <c r="F31" s="8">
        <v>157.57</v>
      </c>
      <c r="G31" s="8">
        <v>152.89</v>
      </c>
      <c r="H31" s="8">
        <v>130.85</v>
      </c>
      <c r="I31" s="8">
        <v>126.17</v>
      </c>
      <c r="J31" s="8">
        <v>201.2</v>
      </c>
      <c r="K31" s="8">
        <v>180.67</v>
      </c>
      <c r="L31" s="8">
        <v>175.99</v>
      </c>
      <c r="M31" s="8">
        <v>0</v>
      </c>
      <c r="N31" s="8">
        <v>158.27</v>
      </c>
      <c r="O31" s="8">
        <v>184.6</v>
      </c>
      <c r="P31" s="8">
        <v>140.01</v>
      </c>
      <c r="Q31" s="8">
        <v>122.74</v>
      </c>
      <c r="R31" s="8">
        <v>118.06</v>
      </c>
      <c r="S31" s="8">
        <v>106.57</v>
      </c>
      <c r="T31" s="8">
        <v>101.89</v>
      </c>
      <c r="U31" s="9">
        <v>95.9</v>
      </c>
    </row>
    <row r="32" spans="1:21" ht="12.75">
      <c r="A32" s="1">
        <f t="shared" si="0"/>
        <v>26</v>
      </c>
      <c r="B32" s="4" t="s">
        <v>671</v>
      </c>
      <c r="C32" s="8">
        <v>224</v>
      </c>
      <c r="D32" s="8">
        <v>207.4</v>
      </c>
      <c r="E32" s="8">
        <v>192.4</v>
      </c>
      <c r="F32" s="8">
        <v>155.47</v>
      </c>
      <c r="G32" s="8">
        <v>150.79</v>
      </c>
      <c r="H32" s="8">
        <v>129.04</v>
      </c>
      <c r="I32" s="8">
        <v>124.36</v>
      </c>
      <c r="J32" s="8">
        <v>199.1</v>
      </c>
      <c r="K32" s="8">
        <v>178.57</v>
      </c>
      <c r="L32" s="8">
        <v>173.89</v>
      </c>
      <c r="M32" s="8">
        <v>0</v>
      </c>
      <c r="N32" s="8">
        <v>156.12</v>
      </c>
      <c r="O32" s="8">
        <v>182.2</v>
      </c>
      <c r="P32" s="8">
        <v>138.02</v>
      </c>
      <c r="Q32" s="8">
        <v>120.59</v>
      </c>
      <c r="R32" s="8">
        <v>115.91</v>
      </c>
      <c r="S32" s="8">
        <v>104.72</v>
      </c>
      <c r="T32" s="8">
        <v>100.04</v>
      </c>
      <c r="U32" s="9">
        <v>93.9</v>
      </c>
    </row>
    <row r="33" spans="1:21" ht="12.75">
      <c r="A33" s="1">
        <f t="shared" si="0"/>
        <v>27</v>
      </c>
      <c r="B33" s="4" t="s">
        <v>672</v>
      </c>
      <c r="C33" s="8">
        <v>221.9</v>
      </c>
      <c r="D33" s="8">
        <v>205.1</v>
      </c>
      <c r="E33" s="8">
        <v>190.1</v>
      </c>
      <c r="F33" s="8">
        <v>153.46</v>
      </c>
      <c r="G33" s="8">
        <v>148.78</v>
      </c>
      <c r="H33" s="8">
        <v>127.31</v>
      </c>
      <c r="I33" s="8">
        <v>122.63</v>
      </c>
      <c r="J33" s="8">
        <v>196.8</v>
      </c>
      <c r="K33" s="8">
        <v>176.56</v>
      </c>
      <c r="L33" s="8">
        <v>171.88</v>
      </c>
      <c r="M33" s="8">
        <v>0</v>
      </c>
      <c r="N33" s="8">
        <v>153.99</v>
      </c>
      <c r="O33" s="8">
        <v>179.9</v>
      </c>
      <c r="P33" s="8">
        <v>135.64</v>
      </c>
      <c r="Q33" s="8">
        <v>118.2</v>
      </c>
      <c r="R33" s="8">
        <v>113.52</v>
      </c>
      <c r="S33" s="8">
        <v>102.66</v>
      </c>
      <c r="T33" s="8">
        <v>97.98</v>
      </c>
      <c r="U33" s="9">
        <v>91.6</v>
      </c>
    </row>
    <row r="34" spans="1:21" ht="12.75">
      <c r="A34" s="1">
        <f t="shared" si="0"/>
        <v>28</v>
      </c>
      <c r="B34" s="4" t="s">
        <v>673</v>
      </c>
      <c r="C34" s="8">
        <v>221.9</v>
      </c>
      <c r="D34" s="8">
        <v>205.1</v>
      </c>
      <c r="E34" s="8">
        <v>190.1</v>
      </c>
      <c r="F34" s="8">
        <v>153.46</v>
      </c>
      <c r="G34" s="8">
        <v>148.78</v>
      </c>
      <c r="H34" s="8">
        <v>127.31</v>
      </c>
      <c r="I34" s="8">
        <v>122.63</v>
      </c>
      <c r="J34" s="8">
        <v>196.8</v>
      </c>
      <c r="K34" s="8">
        <v>176.56</v>
      </c>
      <c r="L34" s="8">
        <v>171.88</v>
      </c>
      <c r="M34" s="8">
        <v>0</v>
      </c>
      <c r="N34" s="8">
        <v>153.99</v>
      </c>
      <c r="O34" s="8">
        <v>179.9</v>
      </c>
      <c r="P34" s="8">
        <v>135.64</v>
      </c>
      <c r="Q34" s="8">
        <v>118.2</v>
      </c>
      <c r="R34" s="8">
        <v>113.52</v>
      </c>
      <c r="S34" s="8">
        <v>102.66</v>
      </c>
      <c r="T34" s="8">
        <v>97.98</v>
      </c>
      <c r="U34" s="9">
        <v>91.6</v>
      </c>
    </row>
    <row r="35" spans="1:21" ht="12.75">
      <c r="A35" s="1">
        <f t="shared" si="0"/>
        <v>29</v>
      </c>
      <c r="B35" s="4" t="s">
        <v>674</v>
      </c>
      <c r="C35" s="8">
        <v>224</v>
      </c>
      <c r="D35" s="8">
        <v>207.1</v>
      </c>
      <c r="E35" s="8">
        <v>190.1</v>
      </c>
      <c r="F35" s="8">
        <v>153.46</v>
      </c>
      <c r="G35" s="8">
        <v>148.78</v>
      </c>
      <c r="H35" s="8">
        <v>127.31</v>
      </c>
      <c r="I35" s="8">
        <v>122.63</v>
      </c>
      <c r="J35" s="8">
        <v>196.8</v>
      </c>
      <c r="K35" s="8">
        <v>176.56</v>
      </c>
      <c r="L35" s="8">
        <v>171.88</v>
      </c>
      <c r="M35" s="8">
        <v>0</v>
      </c>
      <c r="N35" s="8">
        <v>153.99</v>
      </c>
      <c r="O35" s="8">
        <v>179.9</v>
      </c>
      <c r="P35" s="8">
        <v>135.64</v>
      </c>
      <c r="Q35" s="8">
        <v>118.2</v>
      </c>
      <c r="R35" s="8">
        <v>113.52</v>
      </c>
      <c r="S35" s="8">
        <v>102.66</v>
      </c>
      <c r="T35" s="8">
        <v>97.98</v>
      </c>
      <c r="U35" s="9">
        <v>91.6</v>
      </c>
    </row>
    <row r="36" spans="1:21" ht="12.75">
      <c r="A36" s="1">
        <f t="shared" si="0"/>
        <v>30</v>
      </c>
      <c r="B36" s="4" t="s">
        <v>675</v>
      </c>
      <c r="C36" s="8">
        <v>226.5</v>
      </c>
      <c r="D36" s="8">
        <v>209.3</v>
      </c>
      <c r="E36" s="8">
        <v>190.1</v>
      </c>
      <c r="F36" s="8">
        <v>153.46</v>
      </c>
      <c r="G36" s="8">
        <v>148.78</v>
      </c>
      <c r="H36" s="8">
        <v>127.31</v>
      </c>
      <c r="I36" s="8">
        <v>122.63</v>
      </c>
      <c r="J36" s="8">
        <v>196.8</v>
      </c>
      <c r="K36" s="8">
        <v>176.56</v>
      </c>
      <c r="L36" s="8">
        <v>171.88</v>
      </c>
      <c r="M36" s="8">
        <v>0</v>
      </c>
      <c r="N36" s="8">
        <v>153.99</v>
      </c>
      <c r="O36" s="8">
        <v>179.9</v>
      </c>
      <c r="P36" s="8">
        <v>135.64</v>
      </c>
      <c r="Q36" s="8">
        <v>118.2</v>
      </c>
      <c r="R36" s="8">
        <v>113.52</v>
      </c>
      <c r="S36" s="8">
        <v>102.66</v>
      </c>
      <c r="T36" s="8">
        <v>97.98</v>
      </c>
      <c r="U36" s="9">
        <v>90</v>
      </c>
    </row>
    <row r="37" spans="1:21" ht="12.75">
      <c r="A37" s="1">
        <f t="shared" si="0"/>
        <v>31</v>
      </c>
      <c r="B37" s="4" t="s">
        <v>676</v>
      </c>
      <c r="C37" s="8">
        <v>228.9</v>
      </c>
      <c r="D37" s="8">
        <v>211.4</v>
      </c>
      <c r="E37" s="8">
        <v>190.1</v>
      </c>
      <c r="F37" s="8">
        <v>153.46</v>
      </c>
      <c r="G37" s="8">
        <v>148.78</v>
      </c>
      <c r="H37" s="8">
        <v>127.31</v>
      </c>
      <c r="I37" s="8">
        <v>122.63</v>
      </c>
      <c r="J37" s="8">
        <v>196.8</v>
      </c>
      <c r="K37" s="8">
        <v>176.56</v>
      </c>
      <c r="L37" s="8">
        <v>171.88</v>
      </c>
      <c r="M37" s="8">
        <v>0</v>
      </c>
      <c r="N37" s="8">
        <v>153.99</v>
      </c>
      <c r="O37" s="8">
        <v>179.9</v>
      </c>
      <c r="P37" s="8">
        <v>135.64</v>
      </c>
      <c r="Q37" s="8">
        <v>118.2</v>
      </c>
      <c r="R37" s="8">
        <v>113.52</v>
      </c>
      <c r="S37" s="8">
        <v>102.66</v>
      </c>
      <c r="T37" s="8">
        <v>97.98</v>
      </c>
      <c r="U37" s="9">
        <v>90</v>
      </c>
    </row>
    <row r="38" spans="1:21" ht="12.75">
      <c r="A38" s="1">
        <f t="shared" si="0"/>
        <v>32</v>
      </c>
      <c r="B38" s="4" t="s">
        <v>677</v>
      </c>
      <c r="C38" s="8">
        <v>231.1</v>
      </c>
      <c r="D38" s="8">
        <v>213.5</v>
      </c>
      <c r="E38" s="8">
        <v>190.1</v>
      </c>
      <c r="F38" s="8">
        <v>153.46</v>
      </c>
      <c r="G38" s="8">
        <v>148.78</v>
      </c>
      <c r="H38" s="8">
        <v>127.31</v>
      </c>
      <c r="I38" s="8">
        <v>122.63</v>
      </c>
      <c r="J38" s="8">
        <v>196.8</v>
      </c>
      <c r="K38" s="8">
        <v>176.56</v>
      </c>
      <c r="L38" s="8">
        <v>171.88</v>
      </c>
      <c r="M38" s="8">
        <v>0</v>
      </c>
      <c r="N38" s="8">
        <v>153.99</v>
      </c>
      <c r="O38" s="8">
        <v>179.9</v>
      </c>
      <c r="P38" s="8">
        <v>135.64</v>
      </c>
      <c r="Q38" s="8">
        <v>118.2</v>
      </c>
      <c r="R38" s="8">
        <v>113.52</v>
      </c>
      <c r="S38" s="8">
        <v>102.66</v>
      </c>
      <c r="T38" s="8">
        <v>97.98</v>
      </c>
      <c r="U38" s="9">
        <v>90</v>
      </c>
    </row>
    <row r="39" spans="1:21" ht="12.75">
      <c r="A39" s="1">
        <f t="shared" si="0"/>
        <v>33</v>
      </c>
      <c r="B39" s="4" t="s">
        <v>678</v>
      </c>
      <c r="C39" s="8">
        <v>233.5</v>
      </c>
      <c r="D39" s="8">
        <v>215.6</v>
      </c>
      <c r="E39" s="8">
        <v>192</v>
      </c>
      <c r="F39" s="8">
        <v>155.97</v>
      </c>
      <c r="G39" s="8">
        <v>151.29</v>
      </c>
      <c r="H39" s="8">
        <v>129.47</v>
      </c>
      <c r="I39" s="8">
        <v>124.79</v>
      </c>
      <c r="J39" s="8">
        <v>198.7</v>
      </c>
      <c r="K39" s="8">
        <v>179.07</v>
      </c>
      <c r="L39" s="8">
        <v>174.39</v>
      </c>
      <c r="M39" s="8">
        <v>0</v>
      </c>
      <c r="N39" s="8">
        <v>160.68</v>
      </c>
      <c r="O39" s="8">
        <v>185.7</v>
      </c>
      <c r="P39" s="8">
        <v>135.93</v>
      </c>
      <c r="Q39" s="8">
        <v>118.47</v>
      </c>
      <c r="R39" s="8">
        <v>113.79</v>
      </c>
      <c r="S39" s="8">
        <v>102.89</v>
      </c>
      <c r="T39" s="8">
        <v>98.21</v>
      </c>
      <c r="U39" s="9">
        <v>88</v>
      </c>
    </row>
    <row r="40" spans="1:21" ht="12.75">
      <c r="A40" s="1">
        <f t="shared" si="0"/>
        <v>34</v>
      </c>
      <c r="B40" s="4" t="s">
        <v>679</v>
      </c>
      <c r="C40" s="8">
        <v>233.5</v>
      </c>
      <c r="D40" s="8">
        <v>215.6</v>
      </c>
      <c r="E40" s="8">
        <v>192</v>
      </c>
      <c r="F40" s="8">
        <v>155.97</v>
      </c>
      <c r="G40" s="8">
        <v>151.29</v>
      </c>
      <c r="H40" s="8">
        <v>129.47</v>
      </c>
      <c r="I40" s="8">
        <v>124.79</v>
      </c>
      <c r="J40" s="8">
        <v>198.7</v>
      </c>
      <c r="K40" s="8">
        <v>179.07</v>
      </c>
      <c r="L40" s="8">
        <v>174.39</v>
      </c>
      <c r="M40" s="8">
        <v>0</v>
      </c>
      <c r="N40" s="8">
        <v>160.68</v>
      </c>
      <c r="O40" s="8">
        <v>185.7</v>
      </c>
      <c r="P40" s="8">
        <v>135.93</v>
      </c>
      <c r="Q40" s="8">
        <v>118.47</v>
      </c>
      <c r="R40" s="8">
        <v>113.79</v>
      </c>
      <c r="S40" s="8">
        <v>102.89</v>
      </c>
      <c r="T40" s="8">
        <v>98.21</v>
      </c>
      <c r="U40" s="9">
        <v>88</v>
      </c>
    </row>
    <row r="41" spans="1:21" ht="12.75">
      <c r="A41" s="1">
        <f t="shared" si="0"/>
        <v>35</v>
      </c>
      <c r="B41" s="4" t="s">
        <v>680</v>
      </c>
      <c r="C41" s="8">
        <v>233.5</v>
      </c>
      <c r="D41" s="8">
        <v>215.6</v>
      </c>
      <c r="E41" s="8">
        <v>192</v>
      </c>
      <c r="F41" s="8">
        <v>155.97</v>
      </c>
      <c r="G41" s="8">
        <v>151.29</v>
      </c>
      <c r="H41" s="8">
        <v>129.47</v>
      </c>
      <c r="I41" s="8">
        <v>124.79</v>
      </c>
      <c r="J41" s="8">
        <v>198.7</v>
      </c>
      <c r="K41" s="8">
        <v>179.07</v>
      </c>
      <c r="L41" s="8">
        <v>174.39</v>
      </c>
      <c r="M41" s="8">
        <v>0</v>
      </c>
      <c r="N41" s="8">
        <v>160.68</v>
      </c>
      <c r="O41" s="8">
        <v>185.7</v>
      </c>
      <c r="P41" s="8">
        <v>135.93</v>
      </c>
      <c r="Q41" s="8">
        <v>118.47</v>
      </c>
      <c r="R41" s="8">
        <v>113.79</v>
      </c>
      <c r="S41" s="8">
        <v>102.89</v>
      </c>
      <c r="T41" s="8">
        <v>98.21</v>
      </c>
      <c r="U41" s="9">
        <v>88</v>
      </c>
    </row>
    <row r="42" spans="1:21" ht="12.75" outlineLevel="1">
      <c r="A42" s="1">
        <f t="shared" si="0"/>
        <v>36</v>
      </c>
      <c r="B42" s="4" t="s">
        <v>682</v>
      </c>
      <c r="C42" s="8">
        <v>237.2</v>
      </c>
      <c r="D42" s="8">
        <v>219.1</v>
      </c>
      <c r="E42" s="8">
        <v>195.2</v>
      </c>
      <c r="F42" s="8">
        <v>158.95</v>
      </c>
      <c r="G42" s="8">
        <v>154.27</v>
      </c>
      <c r="H42" s="8">
        <v>132.04</v>
      </c>
      <c r="I42" s="8">
        <v>127.36</v>
      </c>
      <c r="J42" s="8">
        <v>201.9</v>
      </c>
      <c r="K42" s="8">
        <v>182.05</v>
      </c>
      <c r="L42" s="8">
        <v>177.37</v>
      </c>
      <c r="M42" s="8">
        <v>0</v>
      </c>
      <c r="N42" s="8">
        <v>163.48</v>
      </c>
      <c r="O42" s="8">
        <v>188.5</v>
      </c>
      <c r="P42" s="8">
        <v>138.2</v>
      </c>
      <c r="Q42" s="8">
        <v>120.74</v>
      </c>
      <c r="R42" s="8">
        <v>116.06</v>
      </c>
      <c r="S42" s="8">
        <v>104.85</v>
      </c>
      <c r="T42" s="8">
        <v>100.17</v>
      </c>
      <c r="U42" s="9">
        <v>88</v>
      </c>
    </row>
    <row r="43" spans="1:21" ht="12.75" outlineLevel="1">
      <c r="A43" s="1">
        <f t="shared" si="0"/>
        <v>37</v>
      </c>
      <c r="B43" s="4" t="s">
        <v>683</v>
      </c>
      <c r="C43" s="8">
        <v>240.4</v>
      </c>
      <c r="D43" s="8">
        <v>221.6</v>
      </c>
      <c r="E43" s="8">
        <v>197.7</v>
      </c>
      <c r="F43" s="8">
        <v>161.52</v>
      </c>
      <c r="G43" s="8">
        <v>156.84</v>
      </c>
      <c r="H43" s="8">
        <v>134.25</v>
      </c>
      <c r="I43" s="8">
        <v>129.58</v>
      </c>
      <c r="J43" s="8">
        <v>204.4</v>
      </c>
      <c r="K43" s="8">
        <v>184.62</v>
      </c>
      <c r="L43" s="8">
        <v>179.94</v>
      </c>
      <c r="M43" s="8">
        <v>0</v>
      </c>
      <c r="N43" s="8">
        <v>165.68</v>
      </c>
      <c r="O43" s="8">
        <v>191.9</v>
      </c>
      <c r="P43" s="8">
        <v>139.69</v>
      </c>
      <c r="Q43" s="8">
        <v>122.23</v>
      </c>
      <c r="R43" s="8">
        <v>117.55</v>
      </c>
      <c r="S43" s="8">
        <v>106.13</v>
      </c>
      <c r="T43" s="8">
        <v>101.45</v>
      </c>
      <c r="U43" s="9">
        <v>90</v>
      </c>
    </row>
    <row r="44" spans="1:21" ht="12.75" outlineLevel="1">
      <c r="A44" s="1">
        <f t="shared" si="0"/>
        <v>38</v>
      </c>
      <c r="B44" s="4" t="s">
        <v>684</v>
      </c>
      <c r="C44" s="8">
        <v>243.5</v>
      </c>
      <c r="D44" s="8">
        <v>224.2</v>
      </c>
      <c r="E44" s="8">
        <v>200.6</v>
      </c>
      <c r="F44" s="8">
        <v>163.73</v>
      </c>
      <c r="G44" s="8">
        <v>159.05</v>
      </c>
      <c r="H44" s="8">
        <v>136.16</v>
      </c>
      <c r="I44" s="8">
        <v>131.48</v>
      </c>
      <c r="J44" s="8">
        <v>207.3</v>
      </c>
      <c r="K44" s="8">
        <v>186.83</v>
      </c>
      <c r="L44" s="8">
        <v>182.15</v>
      </c>
      <c r="M44" s="8">
        <v>0</v>
      </c>
      <c r="N44" s="8">
        <v>169.38</v>
      </c>
      <c r="O44" s="8">
        <v>196.2</v>
      </c>
      <c r="P44" s="8">
        <v>143.1</v>
      </c>
      <c r="Q44" s="8">
        <v>125.64</v>
      </c>
      <c r="R44" s="8">
        <v>120.96</v>
      </c>
      <c r="S44" s="8">
        <v>109.07</v>
      </c>
      <c r="T44" s="8">
        <v>104.39</v>
      </c>
      <c r="U44" s="9">
        <v>92.5</v>
      </c>
    </row>
    <row r="45" spans="1:21" ht="12.75" outlineLevel="1">
      <c r="A45" s="1">
        <f t="shared" si="0"/>
        <v>39</v>
      </c>
      <c r="B45" s="4" t="s">
        <v>685</v>
      </c>
      <c r="C45" s="8">
        <v>243.5</v>
      </c>
      <c r="D45" s="8">
        <v>224.2</v>
      </c>
      <c r="E45" s="8">
        <v>200.6</v>
      </c>
      <c r="F45" s="8">
        <v>163.73</v>
      </c>
      <c r="G45" s="8">
        <v>159.05</v>
      </c>
      <c r="H45" s="8">
        <v>136.16</v>
      </c>
      <c r="I45" s="8">
        <v>131.48</v>
      </c>
      <c r="J45" s="8">
        <v>207.3</v>
      </c>
      <c r="K45" s="8">
        <v>186.83</v>
      </c>
      <c r="L45" s="8">
        <v>182.15</v>
      </c>
      <c r="M45" s="8">
        <v>0</v>
      </c>
      <c r="N45" s="8">
        <v>169.38</v>
      </c>
      <c r="O45" s="8">
        <v>196.2</v>
      </c>
      <c r="P45" s="8">
        <v>143.1</v>
      </c>
      <c r="Q45" s="8">
        <v>125.64</v>
      </c>
      <c r="R45" s="8">
        <v>120.96</v>
      </c>
      <c r="S45" s="8">
        <v>109.07</v>
      </c>
      <c r="T45" s="8">
        <v>104.39</v>
      </c>
      <c r="U45" s="9">
        <v>91</v>
      </c>
    </row>
    <row r="46" spans="1:21" ht="12.75" outlineLevel="1">
      <c r="A46" s="1">
        <f t="shared" si="0"/>
        <v>40</v>
      </c>
      <c r="B46" s="4" t="s">
        <v>686</v>
      </c>
      <c r="C46" s="8">
        <v>243.5</v>
      </c>
      <c r="D46" s="8">
        <v>224.2</v>
      </c>
      <c r="E46" s="8">
        <v>200.6</v>
      </c>
      <c r="F46" s="8">
        <v>163.73</v>
      </c>
      <c r="G46" s="8">
        <v>159.05</v>
      </c>
      <c r="H46" s="8">
        <v>136.16</v>
      </c>
      <c r="I46" s="8">
        <v>131.48</v>
      </c>
      <c r="J46" s="8">
        <v>207.3</v>
      </c>
      <c r="K46" s="8">
        <v>186.83</v>
      </c>
      <c r="L46" s="8">
        <v>182.15</v>
      </c>
      <c r="M46" s="8">
        <v>0</v>
      </c>
      <c r="N46" s="8">
        <v>169.38</v>
      </c>
      <c r="O46" s="8">
        <v>196.2</v>
      </c>
      <c r="P46" s="8">
        <v>143.1</v>
      </c>
      <c r="Q46" s="8">
        <v>125.64</v>
      </c>
      <c r="R46" s="8">
        <v>120.96</v>
      </c>
      <c r="S46" s="8">
        <v>109.07</v>
      </c>
      <c r="T46" s="8">
        <v>104.39</v>
      </c>
      <c r="U46" s="9">
        <v>89.5</v>
      </c>
    </row>
    <row r="47" spans="1:21" ht="12.75" outlineLevel="1">
      <c r="A47" s="1">
        <f t="shared" si="0"/>
        <v>41</v>
      </c>
      <c r="B47" s="4" t="s">
        <v>687</v>
      </c>
      <c r="C47" s="8">
        <v>243.5</v>
      </c>
      <c r="D47" s="8">
        <v>224.2</v>
      </c>
      <c r="E47" s="8">
        <v>200.6</v>
      </c>
      <c r="F47" s="8">
        <v>163.73</v>
      </c>
      <c r="G47" s="8">
        <v>159.05</v>
      </c>
      <c r="H47" s="8">
        <v>136.16</v>
      </c>
      <c r="I47" s="8">
        <v>131.48</v>
      </c>
      <c r="J47" s="8">
        <v>207.3</v>
      </c>
      <c r="K47" s="8">
        <v>186.83</v>
      </c>
      <c r="L47" s="8">
        <v>182.15</v>
      </c>
      <c r="M47" s="8">
        <v>0</v>
      </c>
      <c r="N47" s="8">
        <v>169.38</v>
      </c>
      <c r="O47" s="8">
        <v>196.2</v>
      </c>
      <c r="P47" s="8">
        <v>143.1</v>
      </c>
      <c r="Q47" s="8">
        <v>125.64</v>
      </c>
      <c r="R47" s="8">
        <v>120.96</v>
      </c>
      <c r="S47" s="8">
        <v>109.07</v>
      </c>
      <c r="T47" s="8">
        <v>104.39</v>
      </c>
      <c r="U47" s="9">
        <v>89.5</v>
      </c>
    </row>
    <row r="48" spans="1:21" ht="12.75" outlineLevel="1">
      <c r="A48" s="1">
        <f t="shared" si="0"/>
        <v>42</v>
      </c>
      <c r="B48" s="4" t="s">
        <v>688</v>
      </c>
      <c r="C48" s="8">
        <v>243.5</v>
      </c>
      <c r="D48" s="8">
        <v>224.2</v>
      </c>
      <c r="E48" s="8">
        <v>200.6</v>
      </c>
      <c r="F48" s="8">
        <v>163.73</v>
      </c>
      <c r="G48" s="8">
        <v>159.05</v>
      </c>
      <c r="H48" s="8">
        <v>136.16</v>
      </c>
      <c r="I48" s="8">
        <v>131.48</v>
      </c>
      <c r="J48" s="8">
        <v>207.3</v>
      </c>
      <c r="K48" s="8">
        <v>186.83</v>
      </c>
      <c r="L48" s="8">
        <v>182.15</v>
      </c>
      <c r="M48" s="8">
        <v>0</v>
      </c>
      <c r="N48" s="8">
        <v>169.38</v>
      </c>
      <c r="O48" s="8">
        <v>196.2</v>
      </c>
      <c r="P48" s="8">
        <v>143.1</v>
      </c>
      <c r="Q48" s="8">
        <v>125.64</v>
      </c>
      <c r="R48" s="8">
        <v>120.96</v>
      </c>
      <c r="S48" s="8">
        <v>109.07</v>
      </c>
      <c r="T48" s="8">
        <v>104.39</v>
      </c>
      <c r="U48" s="9">
        <v>89.5</v>
      </c>
    </row>
    <row r="49" spans="1:21" ht="12.75" outlineLevel="1">
      <c r="A49" s="1">
        <f t="shared" si="0"/>
        <v>43</v>
      </c>
      <c r="B49" s="4" t="s">
        <v>690</v>
      </c>
      <c r="C49" s="8">
        <v>245.7</v>
      </c>
      <c r="D49" s="8">
        <v>226.7</v>
      </c>
      <c r="E49" s="8">
        <v>203</v>
      </c>
      <c r="F49" s="8">
        <v>165.63</v>
      </c>
      <c r="G49" s="8">
        <v>160.95</v>
      </c>
      <c r="H49" s="8">
        <v>137.8</v>
      </c>
      <c r="I49" s="8">
        <v>133.12</v>
      </c>
      <c r="J49" s="8">
        <v>209.7</v>
      </c>
      <c r="K49" s="8">
        <v>188.52</v>
      </c>
      <c r="L49" s="8">
        <v>184.05</v>
      </c>
      <c r="M49" s="8">
        <v>0</v>
      </c>
      <c r="N49" s="8">
        <v>169.38</v>
      </c>
      <c r="O49" s="8">
        <v>196.2</v>
      </c>
      <c r="P49" s="8">
        <v>143.1</v>
      </c>
      <c r="Q49" s="8">
        <v>125.64</v>
      </c>
      <c r="R49" s="8">
        <v>120.96</v>
      </c>
      <c r="S49" s="8">
        <v>109.07</v>
      </c>
      <c r="T49" s="8">
        <v>104.39</v>
      </c>
      <c r="U49" s="9">
        <v>91.27</v>
      </c>
    </row>
    <row r="50" spans="1:21" ht="12.75" outlineLevel="1">
      <c r="A50" s="1">
        <f t="shared" si="0"/>
        <v>44</v>
      </c>
      <c r="B50" s="4" t="s">
        <v>691</v>
      </c>
      <c r="C50" s="8">
        <v>242.7</v>
      </c>
      <c r="D50" s="8">
        <v>223.5</v>
      </c>
      <c r="E50" s="8">
        <v>202</v>
      </c>
      <c r="F50" s="8">
        <v>163.33</v>
      </c>
      <c r="G50" s="8">
        <v>158.65</v>
      </c>
      <c r="H50" s="8">
        <v>135.82</v>
      </c>
      <c r="I50" s="8">
        <v>131.14</v>
      </c>
      <c r="J50" s="8">
        <v>208.7</v>
      </c>
      <c r="K50" s="8">
        <v>186.89</v>
      </c>
      <c r="L50" s="8">
        <v>182.21</v>
      </c>
      <c r="M50" s="8">
        <v>0</v>
      </c>
      <c r="N50" s="8">
        <v>166.29</v>
      </c>
      <c r="O50" s="8">
        <v>193.2</v>
      </c>
      <c r="P50" s="8">
        <v>139.8</v>
      </c>
      <c r="Q50" s="8">
        <v>122.34</v>
      </c>
      <c r="R50" s="8">
        <v>117.66</v>
      </c>
      <c r="S50" s="8">
        <v>106.23</v>
      </c>
      <c r="T50" s="8">
        <v>101.55</v>
      </c>
      <c r="U50" s="9">
        <v>90.27</v>
      </c>
    </row>
    <row r="51" spans="1:21" ht="12.75" outlineLevel="1">
      <c r="A51" s="1">
        <f t="shared" si="0"/>
        <v>45</v>
      </c>
      <c r="B51" s="4" t="s">
        <v>692</v>
      </c>
      <c r="C51" s="8">
        <v>237.5</v>
      </c>
      <c r="D51" s="8">
        <v>219.7</v>
      </c>
      <c r="E51" s="8">
        <v>201</v>
      </c>
      <c r="F51" s="8">
        <v>162.33</v>
      </c>
      <c r="G51" s="8">
        <v>157.65</v>
      </c>
      <c r="H51" s="8">
        <v>134.95</v>
      </c>
      <c r="I51" s="8">
        <v>130.27</v>
      </c>
      <c r="J51" s="8">
        <v>207.7</v>
      </c>
      <c r="K51" s="8">
        <v>185.89</v>
      </c>
      <c r="L51" s="8">
        <v>181.21</v>
      </c>
      <c r="M51" s="8">
        <v>0</v>
      </c>
      <c r="N51" s="8">
        <v>162.79</v>
      </c>
      <c r="O51" s="8">
        <v>188.2</v>
      </c>
      <c r="P51" s="8">
        <v>137</v>
      </c>
      <c r="Q51" s="8">
        <v>119.56</v>
      </c>
      <c r="R51" s="8">
        <v>114.88</v>
      </c>
      <c r="S51" s="8">
        <v>103.83</v>
      </c>
      <c r="T51" s="8">
        <v>99.15</v>
      </c>
      <c r="U51" s="9">
        <v>90.27</v>
      </c>
    </row>
    <row r="52" spans="1:21" ht="12.75" outlineLevel="1">
      <c r="A52" s="1">
        <f t="shared" si="0"/>
        <v>46</v>
      </c>
      <c r="B52" s="4" t="s">
        <v>693</v>
      </c>
      <c r="C52" s="8">
        <v>234.3</v>
      </c>
      <c r="D52" s="8">
        <v>217</v>
      </c>
      <c r="E52" s="8">
        <v>198.7</v>
      </c>
      <c r="F52" s="8">
        <v>160.11</v>
      </c>
      <c r="G52" s="8">
        <v>155.43</v>
      </c>
      <c r="H52" s="8">
        <v>133.04</v>
      </c>
      <c r="I52" s="8">
        <v>128.36</v>
      </c>
      <c r="J52" s="8">
        <v>205.4</v>
      </c>
      <c r="K52" s="8">
        <v>183.21</v>
      </c>
      <c r="L52" s="8">
        <v>178.53</v>
      </c>
      <c r="M52" s="8">
        <v>0</v>
      </c>
      <c r="N52" s="8">
        <v>159.48</v>
      </c>
      <c r="O52" s="8">
        <v>185.5</v>
      </c>
      <c r="P52" s="8">
        <v>134.92</v>
      </c>
      <c r="Q52" s="8">
        <v>117.47</v>
      </c>
      <c r="R52" s="8">
        <v>112.79</v>
      </c>
      <c r="S52" s="8">
        <v>102.03</v>
      </c>
      <c r="T52" s="8">
        <v>97.35</v>
      </c>
      <c r="U52" s="9">
        <v>90.27</v>
      </c>
    </row>
    <row r="53" spans="1:21" ht="12.75" outlineLevel="1">
      <c r="A53" s="1">
        <f t="shared" si="0"/>
        <v>47</v>
      </c>
      <c r="B53" s="4" t="s">
        <v>694</v>
      </c>
      <c r="C53" s="8">
        <v>233.1</v>
      </c>
      <c r="D53" s="8">
        <v>216</v>
      </c>
      <c r="E53" s="8">
        <v>200.1</v>
      </c>
      <c r="F53" s="8">
        <v>159.56</v>
      </c>
      <c r="G53" s="8">
        <v>154.88</v>
      </c>
      <c r="H53" s="8">
        <v>132.57</v>
      </c>
      <c r="I53" s="8">
        <v>127.89</v>
      </c>
      <c r="J53" s="8">
        <v>206.8</v>
      </c>
      <c r="K53" s="8">
        <v>184.66</v>
      </c>
      <c r="L53" s="8">
        <v>179.98</v>
      </c>
      <c r="M53" s="8">
        <v>212</v>
      </c>
      <c r="N53" s="8">
        <v>152.95</v>
      </c>
      <c r="O53" s="8">
        <v>185.5</v>
      </c>
      <c r="P53" s="8">
        <v>134.92</v>
      </c>
      <c r="Q53" s="8">
        <v>117.47</v>
      </c>
      <c r="R53" s="8">
        <v>112.79</v>
      </c>
      <c r="S53" s="8">
        <v>102.03</v>
      </c>
      <c r="T53" s="8">
        <v>97.35</v>
      </c>
      <c r="U53" s="9">
        <v>92.53</v>
      </c>
    </row>
    <row r="54" spans="1:21" ht="12.75" outlineLevel="1">
      <c r="A54" s="1">
        <f t="shared" si="0"/>
        <v>48</v>
      </c>
      <c r="B54" s="4" t="s">
        <v>696</v>
      </c>
      <c r="C54" s="8">
        <v>233.1</v>
      </c>
      <c r="D54" s="8">
        <v>216</v>
      </c>
      <c r="E54" s="8">
        <v>203.6</v>
      </c>
      <c r="F54" s="8">
        <v>163</v>
      </c>
      <c r="G54" s="8">
        <v>158.32</v>
      </c>
      <c r="H54" s="8">
        <v>135.53</v>
      </c>
      <c r="I54" s="8">
        <v>130.85</v>
      </c>
      <c r="J54" s="8">
        <v>210.3</v>
      </c>
      <c r="K54" s="8">
        <v>188.1</v>
      </c>
      <c r="L54" s="8">
        <v>183.42</v>
      </c>
      <c r="M54" s="8">
        <v>221.4</v>
      </c>
      <c r="N54" s="8">
        <v>152.95</v>
      </c>
      <c r="O54" s="8">
        <v>189.2</v>
      </c>
      <c r="P54" s="8">
        <v>134.92</v>
      </c>
      <c r="Q54" s="8">
        <v>117.47</v>
      </c>
      <c r="R54" s="8">
        <v>112.79</v>
      </c>
      <c r="S54" s="8">
        <v>102.03</v>
      </c>
      <c r="T54" s="8">
        <v>97.35</v>
      </c>
      <c r="U54" s="9">
        <v>92.53</v>
      </c>
    </row>
    <row r="55" spans="1:21" ht="12.75" outlineLevel="1">
      <c r="A55" s="1">
        <f t="shared" si="0"/>
        <v>49</v>
      </c>
      <c r="B55" s="4" t="s">
        <v>697</v>
      </c>
      <c r="C55" s="8">
        <v>233.1</v>
      </c>
      <c r="D55" s="8">
        <v>216</v>
      </c>
      <c r="E55" s="8">
        <v>203.6</v>
      </c>
      <c r="F55" s="8">
        <v>163</v>
      </c>
      <c r="G55" s="8">
        <v>158.32</v>
      </c>
      <c r="H55" s="8">
        <v>135.53</v>
      </c>
      <c r="I55" s="8">
        <v>130.85</v>
      </c>
      <c r="J55" s="8">
        <v>210.3</v>
      </c>
      <c r="K55" s="8">
        <v>188.1</v>
      </c>
      <c r="L55" s="8">
        <v>163.42</v>
      </c>
      <c r="M55" s="8">
        <v>221.7</v>
      </c>
      <c r="N55" s="8">
        <v>152.95</v>
      </c>
      <c r="O55" s="8">
        <v>189.2</v>
      </c>
      <c r="P55" s="8">
        <v>134.92</v>
      </c>
      <c r="Q55" s="8">
        <v>117.47</v>
      </c>
      <c r="R55" s="8">
        <v>112.79</v>
      </c>
      <c r="S55" s="8">
        <v>102.03</v>
      </c>
      <c r="T55" s="9">
        <v>97.35</v>
      </c>
      <c r="U55" s="9">
        <v>92.53</v>
      </c>
    </row>
    <row r="56" spans="1:21" ht="12.75" outlineLevel="1">
      <c r="A56" s="1">
        <f t="shared" si="0"/>
        <v>50</v>
      </c>
      <c r="B56" s="4" t="s">
        <v>698</v>
      </c>
      <c r="C56" s="8">
        <v>233.1</v>
      </c>
      <c r="D56" s="8">
        <v>216</v>
      </c>
      <c r="E56" s="8">
        <v>203.6</v>
      </c>
      <c r="F56" s="8">
        <v>163</v>
      </c>
      <c r="G56" s="8">
        <v>158.32</v>
      </c>
      <c r="H56" s="8">
        <v>135.53</v>
      </c>
      <c r="I56" s="8">
        <v>130.85</v>
      </c>
      <c r="J56" s="8">
        <v>210.3</v>
      </c>
      <c r="K56" s="8">
        <v>188.1</v>
      </c>
      <c r="L56" s="8">
        <v>183.42</v>
      </c>
      <c r="M56" s="8">
        <v>220.2</v>
      </c>
      <c r="N56" s="8">
        <v>152.95</v>
      </c>
      <c r="O56" s="8">
        <v>189.2</v>
      </c>
      <c r="P56" s="8">
        <v>136.21</v>
      </c>
      <c r="Q56" s="8">
        <v>118.75</v>
      </c>
      <c r="R56" s="8">
        <v>114.07</v>
      </c>
      <c r="S56" s="8">
        <v>103.13</v>
      </c>
      <c r="T56" s="8">
        <v>98.45</v>
      </c>
      <c r="U56" s="9">
        <v>92.53</v>
      </c>
    </row>
    <row r="57" spans="1:21" ht="12.75" outlineLevel="1">
      <c r="A57" s="1">
        <f t="shared" si="0"/>
        <v>51</v>
      </c>
      <c r="B57" s="4" t="s">
        <v>699</v>
      </c>
      <c r="C57" s="8">
        <v>231.1</v>
      </c>
      <c r="D57" s="8">
        <v>214</v>
      </c>
      <c r="E57" s="8">
        <v>202.6</v>
      </c>
      <c r="F57" s="8">
        <v>162</v>
      </c>
      <c r="G57" s="8">
        <v>157.32</v>
      </c>
      <c r="H57" s="8">
        <v>134.67</v>
      </c>
      <c r="I57" s="8">
        <v>129.99</v>
      </c>
      <c r="J57" s="8">
        <v>209.3</v>
      </c>
      <c r="K57" s="8">
        <v>18.1</v>
      </c>
      <c r="L57" s="8">
        <v>182.42</v>
      </c>
      <c r="M57" s="8">
        <v>216.1</v>
      </c>
      <c r="N57" s="8">
        <v>150.95</v>
      </c>
      <c r="O57" s="8">
        <v>187.2</v>
      </c>
      <c r="P57" s="8">
        <v>135.21</v>
      </c>
      <c r="Q57" s="8">
        <v>117.75</v>
      </c>
      <c r="R57" s="8">
        <v>113.07</v>
      </c>
      <c r="S57" s="8">
        <v>102.27</v>
      </c>
      <c r="T57" s="8">
        <v>97.59</v>
      </c>
      <c r="U57" s="9">
        <v>91.53</v>
      </c>
    </row>
    <row r="58" spans="1:21" ht="12.75" outlineLevel="1">
      <c r="A58" s="1">
        <f t="shared" si="0"/>
        <v>52</v>
      </c>
      <c r="B58" s="4" t="s">
        <v>700</v>
      </c>
      <c r="C58" s="8">
        <v>231.1</v>
      </c>
      <c r="D58" s="8">
        <v>214</v>
      </c>
      <c r="E58" s="8">
        <v>202.6</v>
      </c>
      <c r="F58" s="8">
        <v>162</v>
      </c>
      <c r="G58" s="8">
        <v>157.32</v>
      </c>
      <c r="H58" s="8">
        <v>134.67</v>
      </c>
      <c r="I58" s="8">
        <v>129.99</v>
      </c>
      <c r="J58" s="8">
        <v>209.3</v>
      </c>
      <c r="K58" s="8">
        <v>187.1</v>
      </c>
      <c r="L58" s="8">
        <v>182.42</v>
      </c>
      <c r="M58" s="8">
        <v>216.8</v>
      </c>
      <c r="N58" s="8">
        <v>150.95</v>
      </c>
      <c r="O58" s="8">
        <v>187.2</v>
      </c>
      <c r="P58" s="8">
        <v>135.21</v>
      </c>
      <c r="Q58" s="8">
        <v>117.75</v>
      </c>
      <c r="R58" s="8">
        <v>113.07</v>
      </c>
      <c r="S58" s="8">
        <v>102.27</v>
      </c>
      <c r="T58" s="8">
        <v>97.59</v>
      </c>
      <c r="U58" s="9">
        <v>91.53</v>
      </c>
    </row>
    <row r="59" spans="1:21" ht="12.75" outlineLevel="1">
      <c r="A59" s="1">
        <f t="shared" si="0"/>
        <v>53</v>
      </c>
      <c r="B59" s="4" t="s">
        <v>701</v>
      </c>
      <c r="C59" s="8">
        <v>231.1</v>
      </c>
      <c r="D59" s="8">
        <v>214</v>
      </c>
      <c r="E59" s="8">
        <v>202.6</v>
      </c>
      <c r="F59" s="8">
        <v>162</v>
      </c>
      <c r="G59" s="8">
        <v>157.32</v>
      </c>
      <c r="H59" s="8">
        <v>134.67</v>
      </c>
      <c r="I59" s="8">
        <v>129.99</v>
      </c>
      <c r="J59" s="8">
        <v>209.3</v>
      </c>
      <c r="K59" s="8">
        <v>187.1</v>
      </c>
      <c r="L59" s="8">
        <v>182.42</v>
      </c>
      <c r="M59" s="8">
        <v>220.6</v>
      </c>
      <c r="N59" s="8">
        <v>150.95</v>
      </c>
      <c r="O59" s="8">
        <v>187.2</v>
      </c>
      <c r="P59" s="8">
        <v>135.21</v>
      </c>
      <c r="Q59" s="8">
        <v>117.75</v>
      </c>
      <c r="R59" s="8">
        <v>113.07</v>
      </c>
      <c r="S59" s="8">
        <v>102.27</v>
      </c>
      <c r="T59" s="8">
        <v>97.59</v>
      </c>
      <c r="U59" s="9">
        <v>91.53</v>
      </c>
    </row>
    <row r="60" spans="2:21" ht="13.5" thickBot="1">
      <c r="B60" s="2" t="s">
        <v>65</v>
      </c>
      <c r="C60" s="16">
        <f>SUM(C7:C59)/53</f>
        <v>230.88113207547173</v>
      </c>
      <c r="D60" s="16">
        <f aca="true" t="shared" si="1" ref="D60:U60">SUM(D7:D59)/53</f>
        <v>213.84339622641522</v>
      </c>
      <c r="E60" s="16">
        <f t="shared" si="1"/>
        <v>197.17547169811334</v>
      </c>
      <c r="F60" s="16">
        <f t="shared" si="1"/>
        <v>159.4671698113208</v>
      </c>
      <c r="G60" s="16">
        <f t="shared" si="1"/>
        <v>154.7871698113207</v>
      </c>
      <c r="H60" s="16">
        <f t="shared" si="1"/>
        <v>132.4854716981132</v>
      </c>
      <c r="I60" s="16">
        <f t="shared" si="1"/>
        <v>127.80566037735845</v>
      </c>
      <c r="J60" s="16">
        <f t="shared" si="1"/>
        <v>203.8283018867924</v>
      </c>
      <c r="K60" s="16">
        <f t="shared" si="1"/>
        <v>179.42584905660388</v>
      </c>
      <c r="L60" s="16">
        <f t="shared" si="1"/>
        <v>177.56113207547165</v>
      </c>
      <c r="M60" s="16">
        <f>SUM(M7:M59)/7</f>
        <v>218.39999999999995</v>
      </c>
      <c r="N60" s="16">
        <f t="shared" si="1"/>
        <v>159.86056603773582</v>
      </c>
      <c r="O60" s="16">
        <f t="shared" si="1"/>
        <v>187.33207547169815</v>
      </c>
      <c r="P60" s="16">
        <f t="shared" si="1"/>
        <v>139.58716981132085</v>
      </c>
      <c r="Q60" s="16">
        <f t="shared" si="1"/>
        <v>122.27094339622646</v>
      </c>
      <c r="R60" s="16">
        <f t="shared" si="1"/>
        <v>117.59094339622642</v>
      </c>
      <c r="S60" s="16">
        <f t="shared" si="1"/>
        <v>106.16792452830184</v>
      </c>
      <c r="T60" s="16">
        <f t="shared" si="1"/>
        <v>101.48792452830193</v>
      </c>
      <c r="U60" s="16">
        <f t="shared" si="1"/>
        <v>96.84509433962265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968503937007874" right="0.15748031496062992" top="0.15748031496062992" bottom="0.17" header="0.15748031496062992" footer="0.15748031496062992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9.140625" defaultRowHeight="12.75" outlineLevelRow="1"/>
  <cols>
    <col min="1" max="1" width="3.00390625" style="0" bestFit="1" customWidth="1"/>
    <col min="2" max="2" width="24.42187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19" width="8.140625" style="0" customWidth="1"/>
    <col min="20" max="20" width="8.710937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718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719</v>
      </c>
      <c r="C7" s="8">
        <v>231.1</v>
      </c>
      <c r="D7" s="8">
        <v>214</v>
      </c>
      <c r="E7" s="8">
        <v>202.6</v>
      </c>
      <c r="F7" s="8">
        <v>162</v>
      </c>
      <c r="G7" s="8">
        <v>157.32</v>
      </c>
      <c r="H7" s="8">
        <v>134.67</v>
      </c>
      <c r="I7" s="8">
        <v>129.99</v>
      </c>
      <c r="J7" s="8">
        <v>209.3</v>
      </c>
      <c r="K7" s="8">
        <v>187.1</v>
      </c>
      <c r="L7" s="8">
        <v>182.42</v>
      </c>
      <c r="M7" s="8">
        <v>220.6</v>
      </c>
      <c r="N7" s="8">
        <v>150.95</v>
      </c>
      <c r="O7" s="8">
        <v>187.2</v>
      </c>
      <c r="P7" s="8">
        <v>135.21</v>
      </c>
      <c r="Q7" s="8">
        <v>117.75</v>
      </c>
      <c r="R7" s="8">
        <v>113.07</v>
      </c>
      <c r="S7" s="8">
        <v>102.27</v>
      </c>
      <c r="T7" s="8">
        <v>97.59</v>
      </c>
      <c r="U7" s="6">
        <v>91.53</v>
      </c>
    </row>
    <row r="8" spans="1:21" ht="12.75">
      <c r="A8" s="1">
        <f>A7+1</f>
        <v>2</v>
      </c>
      <c r="B8" s="4" t="s">
        <v>720</v>
      </c>
      <c r="C8" s="8">
        <v>234.2</v>
      </c>
      <c r="D8" s="8">
        <v>216.3</v>
      </c>
      <c r="E8" s="8">
        <v>205.4</v>
      </c>
      <c r="F8" s="8">
        <v>164.81</v>
      </c>
      <c r="G8" s="8">
        <v>160.13</v>
      </c>
      <c r="H8" s="8">
        <v>137.09</v>
      </c>
      <c r="I8" s="8">
        <v>132.41</v>
      </c>
      <c r="J8" s="8">
        <v>212.1</v>
      </c>
      <c r="K8" s="8">
        <v>189.91</v>
      </c>
      <c r="L8" s="8">
        <v>185.23</v>
      </c>
      <c r="M8" s="8">
        <v>221.4</v>
      </c>
      <c r="N8" s="8">
        <v>151.98</v>
      </c>
      <c r="O8" s="8">
        <v>190.7</v>
      </c>
      <c r="P8" s="8">
        <v>138.09</v>
      </c>
      <c r="Q8" s="8">
        <v>120.61</v>
      </c>
      <c r="R8" s="8">
        <v>115.93</v>
      </c>
      <c r="S8" s="8">
        <v>104.74</v>
      </c>
      <c r="T8" s="8">
        <v>100.06</v>
      </c>
      <c r="U8" s="9">
        <v>93.53</v>
      </c>
    </row>
    <row r="9" spans="1:21" ht="12.75">
      <c r="A9" s="1">
        <f>A8+1</f>
        <v>3</v>
      </c>
      <c r="B9" s="4" t="s">
        <v>721</v>
      </c>
      <c r="C9" s="8">
        <v>237.5</v>
      </c>
      <c r="D9" s="8">
        <v>218.6</v>
      </c>
      <c r="E9" s="8">
        <v>206.7</v>
      </c>
      <c r="F9" s="8">
        <v>166.14</v>
      </c>
      <c r="G9" s="8">
        <v>161.46</v>
      </c>
      <c r="H9" s="8">
        <v>138.24</v>
      </c>
      <c r="I9" s="8">
        <v>133.56</v>
      </c>
      <c r="J9" s="8">
        <v>213.4</v>
      </c>
      <c r="K9" s="8">
        <v>191.24</v>
      </c>
      <c r="L9" s="8">
        <v>186.56</v>
      </c>
      <c r="M9" s="8">
        <v>223.2</v>
      </c>
      <c r="N9" s="8">
        <v>154.62</v>
      </c>
      <c r="O9" s="8">
        <v>193.5</v>
      </c>
      <c r="P9" s="8">
        <v>140.73</v>
      </c>
      <c r="Q9" s="8">
        <v>123.27</v>
      </c>
      <c r="R9" s="8">
        <v>118.59</v>
      </c>
      <c r="S9" s="8">
        <v>107.03</v>
      </c>
      <c r="T9" s="8">
        <v>102.35</v>
      </c>
      <c r="U9" s="9">
        <v>95.53</v>
      </c>
    </row>
    <row r="10" spans="1:21" ht="12.75">
      <c r="A10" s="1">
        <f aca="true" t="shared" si="0" ref="A10:A59">A9+1</f>
        <v>4</v>
      </c>
      <c r="B10" s="4" t="s">
        <v>725</v>
      </c>
      <c r="C10" s="8">
        <v>239.9</v>
      </c>
      <c r="D10" s="8">
        <v>220.6</v>
      </c>
      <c r="E10" s="8">
        <v>206.7</v>
      </c>
      <c r="F10" s="8">
        <v>166.14</v>
      </c>
      <c r="G10" s="8">
        <v>161.46</v>
      </c>
      <c r="H10" s="8">
        <v>138.24</v>
      </c>
      <c r="I10" s="8">
        <v>133.56</v>
      </c>
      <c r="J10" s="8">
        <v>213.4</v>
      </c>
      <c r="K10" s="8">
        <v>191.24</v>
      </c>
      <c r="L10" s="8">
        <v>186.56</v>
      </c>
      <c r="M10" s="8">
        <v>223.6</v>
      </c>
      <c r="N10" s="8">
        <v>156.7</v>
      </c>
      <c r="O10" s="8">
        <v>195.7</v>
      </c>
      <c r="P10" s="8">
        <v>140.73</v>
      </c>
      <c r="Q10" s="8">
        <v>123.27</v>
      </c>
      <c r="R10" s="8">
        <v>118.59</v>
      </c>
      <c r="S10" s="8">
        <v>107.03</v>
      </c>
      <c r="T10" s="8">
        <v>102.35</v>
      </c>
      <c r="U10" s="9">
        <v>95.53</v>
      </c>
    </row>
    <row r="11" spans="1:21" ht="12.75">
      <c r="A11" s="1">
        <f t="shared" si="0"/>
        <v>5</v>
      </c>
      <c r="B11" s="4" t="s">
        <v>722</v>
      </c>
      <c r="C11" s="8">
        <v>242.2</v>
      </c>
      <c r="D11" s="8">
        <v>222.8</v>
      </c>
      <c r="E11" s="8">
        <v>208</v>
      </c>
      <c r="F11" s="8">
        <v>167.3</v>
      </c>
      <c r="G11" s="8">
        <v>162.62</v>
      </c>
      <c r="H11" s="8">
        <v>139.24</v>
      </c>
      <c r="I11" s="8">
        <v>134.56</v>
      </c>
      <c r="J11" s="8">
        <v>214.7</v>
      </c>
      <c r="K11" s="8">
        <v>192.4</v>
      </c>
      <c r="L11" s="8">
        <v>187.72</v>
      </c>
      <c r="M11" s="8">
        <v>224.4</v>
      </c>
      <c r="N11" s="8">
        <v>156.7</v>
      </c>
      <c r="O11" s="8">
        <v>195.7</v>
      </c>
      <c r="P11" s="8">
        <v>140.73</v>
      </c>
      <c r="Q11" s="8">
        <v>123.27</v>
      </c>
      <c r="R11" s="8">
        <v>118.59</v>
      </c>
      <c r="S11" s="8">
        <v>107.03</v>
      </c>
      <c r="T11" s="8">
        <v>102.35</v>
      </c>
      <c r="U11" s="9">
        <v>97.43</v>
      </c>
    </row>
    <row r="12" spans="1:21" ht="12.75">
      <c r="A12" s="1">
        <f t="shared" si="0"/>
        <v>6</v>
      </c>
      <c r="B12" s="4" t="s">
        <v>723</v>
      </c>
      <c r="C12" s="8">
        <v>244.2</v>
      </c>
      <c r="D12" s="8">
        <v>225.2</v>
      </c>
      <c r="E12" s="8">
        <v>210.1</v>
      </c>
      <c r="F12" s="8">
        <v>169.46</v>
      </c>
      <c r="G12" s="8">
        <v>164.78</v>
      </c>
      <c r="H12" s="8">
        <v>141.1</v>
      </c>
      <c r="I12" s="8">
        <v>136.42</v>
      </c>
      <c r="J12" s="8">
        <v>216.8</v>
      </c>
      <c r="K12" s="8">
        <v>194.56</v>
      </c>
      <c r="L12" s="8">
        <v>189.88</v>
      </c>
      <c r="M12" s="8">
        <v>226.4</v>
      </c>
      <c r="N12" s="8">
        <v>158.92</v>
      </c>
      <c r="O12" s="8">
        <v>198.4</v>
      </c>
      <c r="P12" s="8">
        <v>142.8</v>
      </c>
      <c r="Q12" s="8">
        <v>125.08</v>
      </c>
      <c r="R12" s="8">
        <v>120.4</v>
      </c>
      <c r="S12" s="8">
        <v>108.59</v>
      </c>
      <c r="T12" s="8">
        <v>103.91</v>
      </c>
      <c r="U12" s="9">
        <v>99.78</v>
      </c>
    </row>
    <row r="13" spans="1:21" ht="12.75">
      <c r="A13" s="1">
        <f t="shared" si="0"/>
        <v>7</v>
      </c>
      <c r="B13" s="4" t="s">
        <v>724</v>
      </c>
      <c r="C13" s="8">
        <v>246.5</v>
      </c>
      <c r="D13" s="8">
        <v>227.2</v>
      </c>
      <c r="E13" s="8">
        <v>212.1</v>
      </c>
      <c r="F13" s="8">
        <v>171.4</v>
      </c>
      <c r="G13" s="8">
        <v>166.72</v>
      </c>
      <c r="H13" s="8">
        <v>142.77</v>
      </c>
      <c r="I13" s="8">
        <v>138.09</v>
      </c>
      <c r="J13" s="8">
        <v>218.8</v>
      </c>
      <c r="K13" s="8">
        <v>196.5</v>
      </c>
      <c r="L13" s="8">
        <v>191.82</v>
      </c>
      <c r="M13" s="8">
        <v>230.7</v>
      </c>
      <c r="N13" s="8">
        <v>162.16</v>
      </c>
      <c r="O13" s="8">
        <v>201.9</v>
      </c>
      <c r="P13" s="8">
        <v>145.29</v>
      </c>
      <c r="Q13" s="8">
        <v>127.59</v>
      </c>
      <c r="R13" s="8">
        <v>122.91</v>
      </c>
      <c r="S13" s="8">
        <v>110.75</v>
      </c>
      <c r="T13" s="8">
        <v>106.07</v>
      </c>
      <c r="U13" s="9">
        <v>99.78</v>
      </c>
    </row>
    <row r="14" spans="1:21" ht="12.75">
      <c r="A14" s="1">
        <f t="shared" si="0"/>
        <v>8</v>
      </c>
      <c r="B14" s="4" t="s">
        <v>726</v>
      </c>
      <c r="C14" s="8">
        <v>246.5</v>
      </c>
      <c r="D14" s="8">
        <v>227.2</v>
      </c>
      <c r="E14" s="8">
        <v>212.1</v>
      </c>
      <c r="F14" s="8">
        <v>171.4</v>
      </c>
      <c r="G14" s="8">
        <v>166.72</v>
      </c>
      <c r="H14" s="8">
        <v>142.77</v>
      </c>
      <c r="I14" s="8">
        <v>138.09</v>
      </c>
      <c r="J14" s="8">
        <v>218.8</v>
      </c>
      <c r="K14" s="8">
        <v>196.5</v>
      </c>
      <c r="L14" s="8">
        <v>191.82</v>
      </c>
      <c r="M14" s="8">
        <v>235.4</v>
      </c>
      <c r="N14" s="8">
        <v>162.16</v>
      </c>
      <c r="O14" s="8">
        <v>201.9</v>
      </c>
      <c r="P14" s="8">
        <v>145.29</v>
      </c>
      <c r="Q14" s="8">
        <v>127.59</v>
      </c>
      <c r="R14" s="8">
        <v>122.91</v>
      </c>
      <c r="S14" s="8">
        <v>110.75</v>
      </c>
      <c r="T14" s="8" t="s">
        <v>727</v>
      </c>
      <c r="U14" s="9">
        <v>99.78</v>
      </c>
    </row>
    <row r="15" spans="1:21" ht="12.75">
      <c r="A15" s="1">
        <f t="shared" si="0"/>
        <v>9</v>
      </c>
      <c r="B15" s="4" t="s">
        <v>728</v>
      </c>
      <c r="C15" s="8">
        <v>250.7</v>
      </c>
      <c r="D15" s="8">
        <v>230.7</v>
      </c>
      <c r="E15" s="8">
        <v>215.1</v>
      </c>
      <c r="F15" s="8">
        <v>174.38</v>
      </c>
      <c r="G15" s="8">
        <v>169.7</v>
      </c>
      <c r="H15" s="8">
        <v>145.34</v>
      </c>
      <c r="I15" s="8">
        <v>140.66</v>
      </c>
      <c r="J15" s="8">
        <v>221.8</v>
      </c>
      <c r="K15" s="8">
        <v>199.48</v>
      </c>
      <c r="L15" s="8">
        <v>194.8</v>
      </c>
      <c r="M15" s="8">
        <v>235.5</v>
      </c>
      <c r="N15" s="8">
        <v>164.43</v>
      </c>
      <c r="O15" s="8">
        <v>204.4</v>
      </c>
      <c r="P15" s="8">
        <v>145.67</v>
      </c>
      <c r="Q15" s="8">
        <v>127.97</v>
      </c>
      <c r="R15" s="8">
        <v>123.29</v>
      </c>
      <c r="S15" s="8">
        <v>111.08</v>
      </c>
      <c r="T15" s="8">
        <v>106.4</v>
      </c>
      <c r="U15" s="9">
        <v>99.78</v>
      </c>
    </row>
    <row r="16" spans="1:21" ht="12.75">
      <c r="A16" s="1">
        <f t="shared" si="0"/>
        <v>10</v>
      </c>
      <c r="B16" s="4" t="s">
        <v>729</v>
      </c>
      <c r="C16" s="8">
        <v>250.7</v>
      </c>
      <c r="D16" s="8">
        <v>230.7</v>
      </c>
      <c r="E16" s="8">
        <v>215.1</v>
      </c>
      <c r="F16" s="8">
        <v>174.38</v>
      </c>
      <c r="G16" s="8">
        <v>169.7</v>
      </c>
      <c r="H16" s="8">
        <v>145.34</v>
      </c>
      <c r="I16" s="8">
        <v>140.66</v>
      </c>
      <c r="J16" s="8">
        <v>221.8</v>
      </c>
      <c r="K16" s="8">
        <v>199.48</v>
      </c>
      <c r="L16" s="8">
        <v>194.8</v>
      </c>
      <c r="M16" s="8">
        <v>235.5</v>
      </c>
      <c r="N16" s="8">
        <v>164.43</v>
      </c>
      <c r="O16" s="8">
        <v>204.4</v>
      </c>
      <c r="P16" s="8">
        <v>145.67</v>
      </c>
      <c r="Q16" s="8">
        <v>127.97</v>
      </c>
      <c r="R16" s="8">
        <v>123.29</v>
      </c>
      <c r="S16" s="8">
        <v>111.08</v>
      </c>
      <c r="T16" s="8">
        <v>106.4</v>
      </c>
      <c r="U16" s="9">
        <v>99.78</v>
      </c>
    </row>
    <row r="17" spans="1:21" ht="12.75">
      <c r="A17" s="1">
        <f t="shared" si="0"/>
        <v>11</v>
      </c>
      <c r="B17" s="4" t="s">
        <v>730</v>
      </c>
      <c r="C17" s="8">
        <v>250.7</v>
      </c>
      <c r="D17" s="8">
        <v>230.7</v>
      </c>
      <c r="E17" s="8">
        <v>215.1</v>
      </c>
      <c r="F17" s="8">
        <v>174.38</v>
      </c>
      <c r="G17" s="8">
        <v>169.7</v>
      </c>
      <c r="H17" s="8">
        <v>145.34</v>
      </c>
      <c r="I17" s="8">
        <v>140.66</v>
      </c>
      <c r="J17" s="8">
        <v>221.8</v>
      </c>
      <c r="K17" s="8">
        <v>199.48</v>
      </c>
      <c r="L17" s="8">
        <v>194.8</v>
      </c>
      <c r="M17" s="8">
        <v>235.5</v>
      </c>
      <c r="N17" s="8">
        <v>164.43</v>
      </c>
      <c r="O17" s="8">
        <v>204.4</v>
      </c>
      <c r="P17" s="8">
        <v>145.67</v>
      </c>
      <c r="Q17" s="8">
        <v>127.97</v>
      </c>
      <c r="R17" s="8">
        <v>123.29</v>
      </c>
      <c r="S17" s="8">
        <v>111.08</v>
      </c>
      <c r="T17" s="8">
        <v>106.4</v>
      </c>
      <c r="U17" s="9">
        <v>99.78</v>
      </c>
    </row>
    <row r="18" spans="1:21" ht="12.75">
      <c r="A18" s="1">
        <f t="shared" si="0"/>
        <v>12</v>
      </c>
      <c r="B18" s="4" t="s">
        <v>731</v>
      </c>
      <c r="C18" s="17">
        <v>250.7</v>
      </c>
      <c r="D18" s="17">
        <v>230.7</v>
      </c>
      <c r="E18" s="17">
        <v>215.1</v>
      </c>
      <c r="F18" s="17">
        <v>174.38</v>
      </c>
      <c r="G18" s="17">
        <v>169.7</v>
      </c>
      <c r="H18" s="17">
        <v>145.34</v>
      </c>
      <c r="I18" s="17">
        <v>140.66</v>
      </c>
      <c r="J18" s="17">
        <v>221.8</v>
      </c>
      <c r="K18" s="17">
        <v>199.48</v>
      </c>
      <c r="L18" s="17">
        <v>194.8</v>
      </c>
      <c r="M18" s="17">
        <v>235.5</v>
      </c>
      <c r="N18" s="17">
        <v>164.43</v>
      </c>
      <c r="O18" s="17">
        <v>204.4</v>
      </c>
      <c r="P18" s="17">
        <v>145.67</v>
      </c>
      <c r="Q18" s="17">
        <v>127.97</v>
      </c>
      <c r="R18" s="17">
        <v>123.29</v>
      </c>
      <c r="S18" s="17">
        <v>111.08</v>
      </c>
      <c r="T18" s="17">
        <v>106.4</v>
      </c>
      <c r="U18" s="18">
        <v>99.78</v>
      </c>
    </row>
    <row r="19" spans="1:21" ht="12.75">
      <c r="A19" s="1">
        <f t="shared" si="0"/>
        <v>13</v>
      </c>
      <c r="B19" s="4" t="s">
        <v>732</v>
      </c>
      <c r="C19" s="17">
        <v>250.7</v>
      </c>
      <c r="D19" s="17">
        <v>230.7</v>
      </c>
      <c r="E19" s="17">
        <v>215.1</v>
      </c>
      <c r="F19" s="17">
        <v>174.38</v>
      </c>
      <c r="G19" s="17">
        <v>169.7</v>
      </c>
      <c r="H19" s="17">
        <v>145.34</v>
      </c>
      <c r="I19" s="17">
        <v>140.66</v>
      </c>
      <c r="J19" s="17">
        <v>221.8</v>
      </c>
      <c r="K19" s="17">
        <v>199.48</v>
      </c>
      <c r="L19" s="17">
        <v>194.8</v>
      </c>
      <c r="M19" s="17">
        <v>235.5</v>
      </c>
      <c r="N19" s="17">
        <v>164.43</v>
      </c>
      <c r="O19" s="17">
        <v>204.4</v>
      </c>
      <c r="P19" s="17">
        <v>145.67</v>
      </c>
      <c r="Q19" s="17">
        <v>127.97</v>
      </c>
      <c r="R19" s="17">
        <v>123.29</v>
      </c>
      <c r="S19" s="17">
        <v>111.08</v>
      </c>
      <c r="T19" s="17">
        <v>106.4</v>
      </c>
      <c r="U19" s="18">
        <v>99.78</v>
      </c>
    </row>
    <row r="20" spans="1:21" ht="12.75">
      <c r="A20" s="1">
        <f t="shared" si="0"/>
        <v>14</v>
      </c>
      <c r="B20" s="4" t="s">
        <v>733</v>
      </c>
      <c r="C20" s="17">
        <v>250.7</v>
      </c>
      <c r="D20" s="17">
        <v>230.7</v>
      </c>
      <c r="E20" s="17">
        <v>213.1</v>
      </c>
      <c r="F20" s="17">
        <v>172.88</v>
      </c>
      <c r="G20" s="17">
        <v>168.2</v>
      </c>
      <c r="H20" s="17">
        <v>144.05</v>
      </c>
      <c r="I20" s="17">
        <v>139.37</v>
      </c>
      <c r="J20" s="17">
        <v>219.8</v>
      </c>
      <c r="K20" s="17">
        <v>197.98</v>
      </c>
      <c r="L20" s="17">
        <v>193.3</v>
      </c>
      <c r="M20" s="17">
        <v>233.5</v>
      </c>
      <c r="N20" s="17">
        <v>162.43</v>
      </c>
      <c r="O20" s="17">
        <v>202.2</v>
      </c>
      <c r="P20" s="17">
        <v>144.17</v>
      </c>
      <c r="Q20" s="17">
        <v>126.47</v>
      </c>
      <c r="R20" s="17">
        <v>121.79</v>
      </c>
      <c r="S20" s="17">
        <v>109.79</v>
      </c>
      <c r="T20" s="17">
        <v>105.11</v>
      </c>
      <c r="U20" s="18">
        <v>98.78</v>
      </c>
    </row>
    <row r="21" spans="1:21" ht="12.75">
      <c r="A21" s="1">
        <f t="shared" si="0"/>
        <v>15</v>
      </c>
      <c r="B21" s="4" t="s">
        <v>734</v>
      </c>
      <c r="C21" s="17">
        <v>250.7</v>
      </c>
      <c r="D21" s="17">
        <v>230.7</v>
      </c>
      <c r="E21" s="17">
        <v>213.1</v>
      </c>
      <c r="F21" s="17">
        <v>172.88</v>
      </c>
      <c r="G21" s="17">
        <v>168.2</v>
      </c>
      <c r="H21" s="17">
        <v>144.05</v>
      </c>
      <c r="I21" s="17">
        <v>139.37</v>
      </c>
      <c r="J21" s="17">
        <v>219.8</v>
      </c>
      <c r="K21" s="17">
        <v>197.88</v>
      </c>
      <c r="L21" s="17">
        <v>193.3</v>
      </c>
      <c r="M21" s="17">
        <v>233.5</v>
      </c>
      <c r="N21" s="17">
        <v>162.43</v>
      </c>
      <c r="O21" s="17">
        <v>202.2</v>
      </c>
      <c r="P21" s="17">
        <v>144.17</v>
      </c>
      <c r="Q21" s="17">
        <v>126.47</v>
      </c>
      <c r="R21" s="17">
        <v>121.79</v>
      </c>
      <c r="S21" s="17">
        <v>109.79</v>
      </c>
      <c r="T21" s="17">
        <v>105.11</v>
      </c>
      <c r="U21" s="18">
        <v>98.78</v>
      </c>
    </row>
    <row r="22" spans="1:21" ht="12.75">
      <c r="A22" s="1">
        <f t="shared" si="0"/>
        <v>16</v>
      </c>
      <c r="B22" s="4" t="s">
        <v>735</v>
      </c>
      <c r="C22" s="17">
        <v>250.7</v>
      </c>
      <c r="D22" s="17">
        <v>230.7</v>
      </c>
      <c r="E22" s="17">
        <v>211</v>
      </c>
      <c r="F22" s="17">
        <v>170.65</v>
      </c>
      <c r="G22" s="17">
        <v>165.97</v>
      </c>
      <c r="H22" s="17">
        <v>142.13</v>
      </c>
      <c r="I22" s="17">
        <v>137.45</v>
      </c>
      <c r="J22" s="17">
        <v>217.7</v>
      </c>
      <c r="K22" s="17">
        <v>195.75</v>
      </c>
      <c r="L22" s="17">
        <v>191.07</v>
      </c>
      <c r="M22" s="17">
        <v>231.1</v>
      </c>
      <c r="N22" s="17">
        <v>160</v>
      </c>
      <c r="O22" s="17">
        <v>199.6</v>
      </c>
      <c r="P22" s="17">
        <v>143.04</v>
      </c>
      <c r="Q22" s="17">
        <v>125.33</v>
      </c>
      <c r="R22" s="17">
        <v>120.65</v>
      </c>
      <c r="S22" s="17">
        <v>108.81</v>
      </c>
      <c r="T22" s="17">
        <v>104.13</v>
      </c>
      <c r="U22" s="18">
        <v>97.78</v>
      </c>
    </row>
    <row r="23" spans="1:21" ht="12.75">
      <c r="A23" s="1">
        <f t="shared" si="0"/>
        <v>17</v>
      </c>
      <c r="B23" s="4" t="s">
        <v>736</v>
      </c>
      <c r="C23" s="17">
        <v>250.7</v>
      </c>
      <c r="D23" s="17">
        <v>230.7</v>
      </c>
      <c r="E23" s="17">
        <v>207.7</v>
      </c>
      <c r="F23" s="17">
        <v>167.35</v>
      </c>
      <c r="G23" s="17">
        <v>162.67</v>
      </c>
      <c r="H23" s="17">
        <v>139.28</v>
      </c>
      <c r="I23" s="17">
        <v>134.6</v>
      </c>
      <c r="J23" s="17">
        <v>214.4</v>
      </c>
      <c r="K23" s="17">
        <v>192.45</v>
      </c>
      <c r="L23" s="17">
        <v>187.77</v>
      </c>
      <c r="M23" s="17">
        <v>227.9</v>
      </c>
      <c r="N23" s="17">
        <v>156.8</v>
      </c>
      <c r="O23" s="17">
        <v>195.9</v>
      </c>
      <c r="P23" s="17">
        <v>141.46</v>
      </c>
      <c r="Q23" s="17">
        <v>123.76</v>
      </c>
      <c r="R23" s="17">
        <v>119.08</v>
      </c>
      <c r="S23" s="17">
        <v>107.45</v>
      </c>
      <c r="T23" s="17">
        <v>102.77</v>
      </c>
      <c r="U23" s="18">
        <v>97.78</v>
      </c>
    </row>
    <row r="24" spans="1:21" ht="12.75">
      <c r="A24" s="1">
        <f t="shared" si="0"/>
        <v>18</v>
      </c>
      <c r="B24" s="4" t="s">
        <v>737</v>
      </c>
      <c r="C24" s="17">
        <v>249.7</v>
      </c>
      <c r="D24" s="17">
        <v>229.7</v>
      </c>
      <c r="E24" s="17">
        <v>205.7</v>
      </c>
      <c r="F24" s="17">
        <v>165.29</v>
      </c>
      <c r="G24" s="17">
        <v>160.61</v>
      </c>
      <c r="H24" s="17">
        <v>137.64</v>
      </c>
      <c r="I24" s="17">
        <v>132.96</v>
      </c>
      <c r="J24" s="17">
        <v>212.4</v>
      </c>
      <c r="K24" s="17">
        <v>190.39</v>
      </c>
      <c r="L24" s="17">
        <v>185.71</v>
      </c>
      <c r="M24" s="17">
        <v>225.9</v>
      </c>
      <c r="N24" s="17">
        <v>155.8</v>
      </c>
      <c r="O24" s="17">
        <v>194.9</v>
      </c>
      <c r="P24" s="17">
        <v>140.46</v>
      </c>
      <c r="Q24" s="17">
        <v>122.52</v>
      </c>
      <c r="R24" s="17">
        <v>117.84</v>
      </c>
      <c r="S24" s="17">
        <v>106.45</v>
      </c>
      <c r="T24" s="17">
        <v>101.77</v>
      </c>
      <c r="U24" s="18">
        <v>96.78</v>
      </c>
    </row>
    <row r="25" spans="1:21" ht="12.75">
      <c r="A25" s="1">
        <f t="shared" si="0"/>
        <v>19</v>
      </c>
      <c r="B25" s="4" t="s">
        <v>738</v>
      </c>
      <c r="C25" s="8">
        <v>249.7</v>
      </c>
      <c r="D25" s="8">
        <v>229.7</v>
      </c>
      <c r="E25" s="8">
        <v>205.7</v>
      </c>
      <c r="F25" s="8">
        <v>165.29</v>
      </c>
      <c r="G25" s="8">
        <v>160.61</v>
      </c>
      <c r="H25" s="8">
        <v>137.64</v>
      </c>
      <c r="I25" s="8">
        <v>132.96</v>
      </c>
      <c r="J25" s="8">
        <v>212.4</v>
      </c>
      <c r="K25" s="8">
        <v>190.39</v>
      </c>
      <c r="L25" s="8">
        <v>185.71</v>
      </c>
      <c r="M25" s="8">
        <v>225.9</v>
      </c>
      <c r="N25" s="8">
        <v>155.8</v>
      </c>
      <c r="O25" s="8">
        <v>194.9</v>
      </c>
      <c r="P25" s="8">
        <v>140.46</v>
      </c>
      <c r="Q25" s="8">
        <v>122.52</v>
      </c>
      <c r="R25" s="8">
        <v>117.84</v>
      </c>
      <c r="S25" s="8">
        <v>106.45</v>
      </c>
      <c r="T25" s="8">
        <v>101.77</v>
      </c>
      <c r="U25" s="9">
        <v>96.78</v>
      </c>
    </row>
    <row r="26" spans="1:21" ht="12.75">
      <c r="A26" s="1">
        <f t="shared" si="0"/>
        <v>20</v>
      </c>
      <c r="B26" s="4" t="s">
        <v>739</v>
      </c>
      <c r="C26" s="8">
        <v>249.7</v>
      </c>
      <c r="D26" s="8">
        <v>229.7</v>
      </c>
      <c r="E26" s="8">
        <v>205.7</v>
      </c>
      <c r="F26" s="8">
        <v>165.29</v>
      </c>
      <c r="G26" s="8">
        <v>160.61</v>
      </c>
      <c r="H26" s="8">
        <v>137.64</v>
      </c>
      <c r="I26" s="8">
        <v>132.96</v>
      </c>
      <c r="J26" s="8">
        <v>212.4</v>
      </c>
      <c r="K26" s="8">
        <v>190.39</v>
      </c>
      <c r="L26" s="8">
        <v>185.9</v>
      </c>
      <c r="M26" s="8">
        <v>225.9</v>
      </c>
      <c r="N26" s="8">
        <v>155.8</v>
      </c>
      <c r="O26" s="8">
        <v>194.9</v>
      </c>
      <c r="P26" s="8">
        <v>140.46</v>
      </c>
      <c r="Q26" s="8">
        <v>122.52</v>
      </c>
      <c r="R26" s="8">
        <v>117.84</v>
      </c>
      <c r="S26" s="8">
        <v>106.45</v>
      </c>
      <c r="T26" s="8">
        <v>101.77</v>
      </c>
      <c r="U26" s="9">
        <v>96.78</v>
      </c>
    </row>
    <row r="27" spans="1:21" ht="12.75">
      <c r="A27" s="1">
        <f t="shared" si="0"/>
        <v>21</v>
      </c>
      <c r="B27" s="4" t="s">
        <v>740</v>
      </c>
      <c r="C27" s="8">
        <v>249.7</v>
      </c>
      <c r="D27" s="8">
        <v>229.7</v>
      </c>
      <c r="E27" s="8">
        <v>205.7</v>
      </c>
      <c r="F27" s="8">
        <v>165.29</v>
      </c>
      <c r="G27" s="8">
        <v>160.61</v>
      </c>
      <c r="H27" s="8">
        <v>137.64</v>
      </c>
      <c r="I27" s="8">
        <v>132.96</v>
      </c>
      <c r="J27" s="8">
        <v>212.4</v>
      </c>
      <c r="K27" s="8">
        <v>190.39</v>
      </c>
      <c r="L27" s="8">
        <v>185.71</v>
      </c>
      <c r="M27" s="8">
        <v>225.9</v>
      </c>
      <c r="N27" s="8">
        <v>155.8</v>
      </c>
      <c r="O27" s="8">
        <v>194.9</v>
      </c>
      <c r="P27" s="8">
        <v>140.46</v>
      </c>
      <c r="Q27" s="8">
        <v>122.52</v>
      </c>
      <c r="R27" s="8">
        <v>117.84</v>
      </c>
      <c r="S27" s="8">
        <v>106.45</v>
      </c>
      <c r="T27" s="8">
        <v>101.77</v>
      </c>
      <c r="U27" s="9">
        <v>96.78</v>
      </c>
    </row>
    <row r="28" spans="1:21" ht="12.75">
      <c r="A28" s="1">
        <f t="shared" si="0"/>
        <v>22</v>
      </c>
      <c r="B28" s="4" t="s">
        <v>741</v>
      </c>
      <c r="C28" s="8">
        <v>249.7</v>
      </c>
      <c r="D28" s="8">
        <v>229.7</v>
      </c>
      <c r="E28" s="8">
        <v>205.7</v>
      </c>
      <c r="F28" s="8">
        <v>165.29</v>
      </c>
      <c r="G28" s="8">
        <v>160.61</v>
      </c>
      <c r="H28" s="8">
        <v>137.64</v>
      </c>
      <c r="I28" s="8">
        <v>132.96</v>
      </c>
      <c r="J28" s="8">
        <v>212.4</v>
      </c>
      <c r="K28" s="8">
        <v>190.39</v>
      </c>
      <c r="L28" s="8">
        <v>185.71</v>
      </c>
      <c r="M28" s="8">
        <v>225.9</v>
      </c>
      <c r="N28" s="8">
        <v>155.8</v>
      </c>
      <c r="O28" s="8">
        <v>194.9</v>
      </c>
      <c r="P28" s="8">
        <v>140.46</v>
      </c>
      <c r="Q28" s="8">
        <v>122.52</v>
      </c>
      <c r="R28" s="8">
        <v>117.84</v>
      </c>
      <c r="S28" s="8">
        <v>106.45</v>
      </c>
      <c r="T28" s="8">
        <v>101.77</v>
      </c>
      <c r="U28" s="9">
        <v>96.78</v>
      </c>
    </row>
    <row r="29" spans="1:21" ht="12.75">
      <c r="A29" s="1">
        <f t="shared" si="0"/>
        <v>23</v>
      </c>
      <c r="B29" s="4" t="s">
        <v>742</v>
      </c>
      <c r="C29" s="8">
        <v>249.7</v>
      </c>
      <c r="D29" s="8">
        <v>229.7</v>
      </c>
      <c r="E29" s="8">
        <v>203.5</v>
      </c>
      <c r="F29" s="8">
        <v>163.24</v>
      </c>
      <c r="G29" s="8">
        <v>158.56</v>
      </c>
      <c r="H29" s="8">
        <v>135.88</v>
      </c>
      <c r="I29" s="8">
        <v>131.2</v>
      </c>
      <c r="J29" s="8">
        <v>210.2</v>
      </c>
      <c r="K29" s="8">
        <v>188.34</v>
      </c>
      <c r="L29" s="8">
        <v>183.66</v>
      </c>
      <c r="M29" s="8">
        <v>223.5</v>
      </c>
      <c r="N29" s="8">
        <v>154.1</v>
      </c>
      <c r="O29" s="8">
        <v>193</v>
      </c>
      <c r="P29" s="8">
        <v>138.4</v>
      </c>
      <c r="Q29" s="8">
        <v>120.58</v>
      </c>
      <c r="R29" s="8">
        <v>115.9</v>
      </c>
      <c r="S29" s="8">
        <v>104.78</v>
      </c>
      <c r="T29" s="8">
        <v>100.1</v>
      </c>
      <c r="U29" s="9">
        <v>96.78</v>
      </c>
    </row>
    <row r="30" spans="1:21" ht="12.75">
      <c r="A30" s="1">
        <f t="shared" si="0"/>
        <v>24</v>
      </c>
      <c r="B30" s="4" t="s">
        <v>743</v>
      </c>
      <c r="C30" s="8">
        <v>249.7</v>
      </c>
      <c r="D30" s="8">
        <v>229.7</v>
      </c>
      <c r="E30" s="8">
        <v>203.5</v>
      </c>
      <c r="F30" s="8">
        <v>163.24</v>
      </c>
      <c r="G30" s="8">
        <v>158.56</v>
      </c>
      <c r="H30" s="8">
        <v>135.88</v>
      </c>
      <c r="I30" s="8">
        <v>131.2</v>
      </c>
      <c r="J30" s="8">
        <v>210.2</v>
      </c>
      <c r="K30" s="8">
        <v>188.34</v>
      </c>
      <c r="L30" s="8">
        <v>183.66</v>
      </c>
      <c r="M30" s="8">
        <v>223.5</v>
      </c>
      <c r="N30" s="8">
        <v>154.1</v>
      </c>
      <c r="O30" s="8">
        <v>193</v>
      </c>
      <c r="P30" s="8">
        <v>138.4</v>
      </c>
      <c r="Q30" s="8">
        <v>120.58</v>
      </c>
      <c r="R30" s="8">
        <v>115.9</v>
      </c>
      <c r="S30" s="8">
        <v>104.78</v>
      </c>
      <c r="T30" s="8">
        <v>100.1</v>
      </c>
      <c r="U30" s="9">
        <v>96.78</v>
      </c>
    </row>
    <row r="31" spans="1:21" ht="12.75">
      <c r="A31" s="1">
        <f t="shared" si="0"/>
        <v>25</v>
      </c>
      <c r="B31" s="4" t="s">
        <v>744</v>
      </c>
      <c r="C31" s="8">
        <v>249.7</v>
      </c>
      <c r="D31" s="8">
        <v>229.7</v>
      </c>
      <c r="E31" s="8">
        <v>203.5</v>
      </c>
      <c r="F31" s="8">
        <v>163.24</v>
      </c>
      <c r="G31" s="8">
        <v>158.56</v>
      </c>
      <c r="H31" s="8">
        <v>135.88</v>
      </c>
      <c r="I31" s="8">
        <v>131.2</v>
      </c>
      <c r="J31" s="8">
        <v>210.2</v>
      </c>
      <c r="K31" s="8">
        <v>188.34</v>
      </c>
      <c r="L31" s="8">
        <v>183.66</v>
      </c>
      <c r="M31" s="8">
        <v>223.5</v>
      </c>
      <c r="N31" s="8">
        <v>154.1</v>
      </c>
      <c r="O31" s="8">
        <v>193</v>
      </c>
      <c r="P31" s="8">
        <v>138.4</v>
      </c>
      <c r="Q31" s="8">
        <v>120.58</v>
      </c>
      <c r="R31" s="8">
        <v>115.9</v>
      </c>
      <c r="S31" s="8">
        <v>104.78</v>
      </c>
      <c r="T31" s="8">
        <v>100.1</v>
      </c>
      <c r="U31" s="9">
        <v>96.78</v>
      </c>
    </row>
    <row r="32" spans="1:21" ht="12.75">
      <c r="A32" s="1">
        <f t="shared" si="0"/>
        <v>26</v>
      </c>
      <c r="B32" s="4" t="s">
        <v>745</v>
      </c>
      <c r="C32" s="8">
        <v>252.2</v>
      </c>
      <c r="D32" s="8">
        <v>232.4</v>
      </c>
      <c r="E32" s="8">
        <v>205.5</v>
      </c>
      <c r="F32" s="8">
        <v>165.75</v>
      </c>
      <c r="G32" s="8">
        <v>161.07</v>
      </c>
      <c r="H32" s="8">
        <v>138.04</v>
      </c>
      <c r="I32" s="8">
        <v>133.36</v>
      </c>
      <c r="J32" s="8">
        <v>212.2</v>
      </c>
      <c r="K32" s="8">
        <v>190.85</v>
      </c>
      <c r="L32" s="8">
        <v>186.17</v>
      </c>
      <c r="M32" s="8">
        <v>224.5</v>
      </c>
      <c r="N32" s="8">
        <v>155.35</v>
      </c>
      <c r="O32" s="8">
        <v>194</v>
      </c>
      <c r="P32" s="8">
        <v>139.4</v>
      </c>
      <c r="Q32" s="8">
        <v>121.58</v>
      </c>
      <c r="R32" s="8">
        <v>116.9</v>
      </c>
      <c r="S32" s="8">
        <v>105.64</v>
      </c>
      <c r="T32" s="8">
        <v>100.96</v>
      </c>
      <c r="U32" s="9">
        <v>97.78</v>
      </c>
    </row>
    <row r="33" spans="1:21" ht="12.75">
      <c r="A33" s="1">
        <f t="shared" si="0"/>
        <v>27</v>
      </c>
      <c r="B33" s="4" t="s">
        <v>746</v>
      </c>
      <c r="C33" s="8">
        <v>251.2</v>
      </c>
      <c r="D33" s="8">
        <v>231.4</v>
      </c>
      <c r="E33" s="8">
        <v>203.5</v>
      </c>
      <c r="F33" s="8">
        <v>163.65</v>
      </c>
      <c r="G33" s="8">
        <v>158.97</v>
      </c>
      <c r="H33" s="8">
        <v>136.23</v>
      </c>
      <c r="I33" s="8">
        <v>131.55</v>
      </c>
      <c r="J33" s="8">
        <v>210.2</v>
      </c>
      <c r="K33" s="8">
        <v>188.75</v>
      </c>
      <c r="L33" s="8">
        <v>184.07</v>
      </c>
      <c r="M33" s="8">
        <v>222</v>
      </c>
      <c r="N33" s="8">
        <v>153.35</v>
      </c>
      <c r="O33" s="8">
        <v>191.9</v>
      </c>
      <c r="P33" s="8">
        <v>137.4</v>
      </c>
      <c r="Q33" s="8">
        <v>119.58</v>
      </c>
      <c r="R33" s="8">
        <v>114.9</v>
      </c>
      <c r="S33" s="8">
        <v>103.92</v>
      </c>
      <c r="T33" s="8">
        <v>99.24</v>
      </c>
      <c r="U33" s="9">
        <v>94.78</v>
      </c>
    </row>
    <row r="34" spans="1:21" ht="12.75">
      <c r="A34" s="1">
        <f t="shared" si="0"/>
        <v>28</v>
      </c>
      <c r="B34" s="4" t="s">
        <v>747</v>
      </c>
      <c r="C34" s="8">
        <v>251.2</v>
      </c>
      <c r="D34" s="8">
        <v>231.4</v>
      </c>
      <c r="E34" s="8">
        <v>203.5</v>
      </c>
      <c r="F34" s="8">
        <v>163.65</v>
      </c>
      <c r="G34" s="8">
        <v>158.97</v>
      </c>
      <c r="H34" s="8">
        <v>136.23</v>
      </c>
      <c r="I34" s="8">
        <v>131.55</v>
      </c>
      <c r="J34" s="8">
        <v>210.2</v>
      </c>
      <c r="K34" s="8">
        <v>188.75</v>
      </c>
      <c r="L34" s="8">
        <v>184.07</v>
      </c>
      <c r="M34" s="8">
        <v>222</v>
      </c>
      <c r="N34" s="8">
        <v>153.35</v>
      </c>
      <c r="O34" s="8">
        <v>191.9</v>
      </c>
      <c r="P34" s="8">
        <v>137.4</v>
      </c>
      <c r="Q34" s="8">
        <v>119.58</v>
      </c>
      <c r="R34" s="8">
        <v>114.9</v>
      </c>
      <c r="S34" s="8">
        <v>103.92</v>
      </c>
      <c r="T34" s="8">
        <v>99.24</v>
      </c>
      <c r="U34" s="9">
        <v>94.78</v>
      </c>
    </row>
    <row r="35" spans="1:21" ht="12.75">
      <c r="A35" s="1">
        <f t="shared" si="0"/>
        <v>29</v>
      </c>
      <c r="B35" s="4" t="s">
        <v>748</v>
      </c>
      <c r="C35" s="8">
        <v>253.9</v>
      </c>
      <c r="D35" s="8">
        <v>235</v>
      </c>
      <c r="E35" s="8">
        <v>205.7</v>
      </c>
      <c r="F35" s="8">
        <v>166.05</v>
      </c>
      <c r="G35" s="8">
        <v>161.37</v>
      </c>
      <c r="H35" s="8">
        <v>138.3</v>
      </c>
      <c r="I35" s="8">
        <v>133.62</v>
      </c>
      <c r="J35" s="8">
        <v>212.4</v>
      </c>
      <c r="K35" s="8">
        <v>191.15</v>
      </c>
      <c r="L35" s="8">
        <v>186.47</v>
      </c>
      <c r="M35" s="8">
        <v>225.4</v>
      </c>
      <c r="N35" s="8">
        <v>153.35</v>
      </c>
      <c r="O35" s="8">
        <v>191.9</v>
      </c>
      <c r="P35" s="8">
        <v>138.73</v>
      </c>
      <c r="Q35" s="8">
        <v>121.01</v>
      </c>
      <c r="R35" s="8">
        <v>116.33</v>
      </c>
      <c r="S35" s="8">
        <v>105.15</v>
      </c>
      <c r="T35" s="8">
        <v>100.47</v>
      </c>
      <c r="U35" s="9">
        <v>96.78</v>
      </c>
    </row>
    <row r="36" spans="1:21" ht="12.75">
      <c r="A36" s="1">
        <f t="shared" si="0"/>
        <v>30</v>
      </c>
      <c r="B36" s="4" t="s">
        <v>749</v>
      </c>
      <c r="C36" s="8">
        <v>257.9</v>
      </c>
      <c r="D36" s="8">
        <v>239.5</v>
      </c>
      <c r="E36" s="8">
        <v>209.7</v>
      </c>
      <c r="F36" s="8">
        <v>169.67</v>
      </c>
      <c r="G36" s="8">
        <v>164.99</v>
      </c>
      <c r="H36" s="8">
        <v>141.42</v>
      </c>
      <c r="I36" s="8">
        <v>136.74</v>
      </c>
      <c r="J36" s="8">
        <v>216.4</v>
      </c>
      <c r="K36" s="8">
        <v>194.77</v>
      </c>
      <c r="L36" s="8">
        <v>190.07</v>
      </c>
      <c r="M36" s="8">
        <v>228.4</v>
      </c>
      <c r="N36" s="8">
        <v>155.25</v>
      </c>
      <c r="O36" s="8">
        <v>193.5</v>
      </c>
      <c r="P36" s="8">
        <v>139.8</v>
      </c>
      <c r="Q36" s="8">
        <v>122.1</v>
      </c>
      <c r="R36" s="8">
        <v>117.42</v>
      </c>
      <c r="S36" s="8">
        <v>106.09</v>
      </c>
      <c r="T36" s="8">
        <v>101.41</v>
      </c>
      <c r="U36" s="9">
        <v>99.78</v>
      </c>
    </row>
    <row r="37" spans="1:21" ht="12.75">
      <c r="A37" s="1">
        <f t="shared" si="0"/>
        <v>31</v>
      </c>
      <c r="B37" s="4" t="s">
        <v>750</v>
      </c>
      <c r="C37" s="8">
        <v>260</v>
      </c>
      <c r="D37" s="8">
        <v>241.9</v>
      </c>
      <c r="E37" s="8">
        <v>209.7</v>
      </c>
      <c r="F37" s="8">
        <v>169.67</v>
      </c>
      <c r="G37" s="8">
        <v>164.42</v>
      </c>
      <c r="H37" s="8">
        <v>141.42</v>
      </c>
      <c r="I37" s="8">
        <v>136.74</v>
      </c>
      <c r="J37" s="8">
        <v>216.4</v>
      </c>
      <c r="K37" s="8">
        <v>194.77</v>
      </c>
      <c r="L37" s="8">
        <v>190.09</v>
      </c>
      <c r="M37" s="8">
        <v>228.4</v>
      </c>
      <c r="N37" s="8">
        <v>155.25</v>
      </c>
      <c r="O37" s="8">
        <v>193.5</v>
      </c>
      <c r="P37" s="8">
        <v>139.8</v>
      </c>
      <c r="Q37" s="8">
        <v>122.1</v>
      </c>
      <c r="R37" s="8">
        <v>117.42</v>
      </c>
      <c r="S37" s="8">
        <v>106.09</v>
      </c>
      <c r="T37" s="8">
        <v>101.41</v>
      </c>
      <c r="U37" s="9">
        <v>100.78</v>
      </c>
    </row>
    <row r="38" spans="1:21" ht="12.75">
      <c r="A38" s="1">
        <f t="shared" si="0"/>
        <v>32</v>
      </c>
      <c r="B38" s="4" t="s">
        <v>751</v>
      </c>
      <c r="C38" s="8">
        <v>262.1</v>
      </c>
      <c r="D38" s="8">
        <v>244.2</v>
      </c>
      <c r="E38" s="8">
        <v>209.7</v>
      </c>
      <c r="F38" s="8">
        <v>169.67</v>
      </c>
      <c r="G38" s="8">
        <v>164.99</v>
      </c>
      <c r="H38" s="8">
        <v>141.42</v>
      </c>
      <c r="I38" s="8">
        <v>136.74</v>
      </c>
      <c r="J38" s="8">
        <v>216.4</v>
      </c>
      <c r="K38" s="8">
        <v>194.77</v>
      </c>
      <c r="L38" s="8">
        <v>190.09</v>
      </c>
      <c r="M38" s="8">
        <v>228.4</v>
      </c>
      <c r="N38" s="8">
        <v>155.25</v>
      </c>
      <c r="O38" s="8">
        <v>193.5</v>
      </c>
      <c r="P38" s="8">
        <v>139.8</v>
      </c>
      <c r="Q38" s="8">
        <v>122.1</v>
      </c>
      <c r="R38" s="8">
        <v>117.42</v>
      </c>
      <c r="S38" s="8">
        <v>106.09</v>
      </c>
      <c r="T38" s="8">
        <v>101.41</v>
      </c>
      <c r="U38" s="9">
        <v>100.78</v>
      </c>
    </row>
    <row r="39" spans="1:21" ht="12.75">
      <c r="A39" s="1">
        <f t="shared" si="0"/>
        <v>33</v>
      </c>
      <c r="B39" s="4" t="s">
        <v>752</v>
      </c>
      <c r="C39" s="8">
        <v>262.1</v>
      </c>
      <c r="D39" s="8">
        <v>244.2</v>
      </c>
      <c r="E39" s="8">
        <v>209.7</v>
      </c>
      <c r="F39" s="8">
        <v>169.67</v>
      </c>
      <c r="G39" s="8">
        <v>164.99</v>
      </c>
      <c r="H39" s="8">
        <v>141.42</v>
      </c>
      <c r="I39" s="8">
        <v>136.74</v>
      </c>
      <c r="J39" s="8">
        <v>216.4</v>
      </c>
      <c r="K39" s="8">
        <v>194.77</v>
      </c>
      <c r="L39" s="8">
        <v>190.09</v>
      </c>
      <c r="M39" s="8">
        <v>228.4</v>
      </c>
      <c r="N39" s="8">
        <v>155.25</v>
      </c>
      <c r="O39" s="8">
        <v>193.5</v>
      </c>
      <c r="P39" s="8">
        <v>139.8</v>
      </c>
      <c r="Q39" s="8">
        <v>122.1</v>
      </c>
      <c r="R39" s="8">
        <v>117.42</v>
      </c>
      <c r="S39" s="8">
        <v>106.09</v>
      </c>
      <c r="T39" s="8">
        <v>101.41</v>
      </c>
      <c r="U39" s="9">
        <v>100.78</v>
      </c>
    </row>
    <row r="40" spans="1:21" ht="12.75">
      <c r="A40" s="1">
        <f t="shared" si="0"/>
        <v>34</v>
      </c>
      <c r="B40" s="4" t="s">
        <v>753</v>
      </c>
      <c r="C40" s="8">
        <v>262.1</v>
      </c>
      <c r="D40" s="8">
        <v>244.2</v>
      </c>
      <c r="E40" s="8">
        <v>209.7</v>
      </c>
      <c r="F40" s="8">
        <v>169.67</v>
      </c>
      <c r="G40" s="8">
        <v>164.99</v>
      </c>
      <c r="H40" s="8">
        <v>141.42</v>
      </c>
      <c r="I40" s="8">
        <v>136.74</v>
      </c>
      <c r="J40" s="8">
        <v>216.4</v>
      </c>
      <c r="K40" s="8">
        <v>194.77</v>
      </c>
      <c r="L40" s="8">
        <v>190.09</v>
      </c>
      <c r="M40" s="8">
        <v>228.4</v>
      </c>
      <c r="N40" s="8">
        <v>155.25</v>
      </c>
      <c r="O40" s="8">
        <v>193.5</v>
      </c>
      <c r="P40" s="8">
        <v>139.8</v>
      </c>
      <c r="Q40" s="8">
        <v>122.1</v>
      </c>
      <c r="R40" s="8">
        <v>117.42</v>
      </c>
      <c r="S40" s="8">
        <v>106.09</v>
      </c>
      <c r="T40" s="8">
        <v>101.41</v>
      </c>
      <c r="U40" s="9">
        <v>100.78</v>
      </c>
    </row>
    <row r="41" spans="1:21" ht="12.75">
      <c r="A41" s="1">
        <f t="shared" si="0"/>
        <v>35</v>
      </c>
      <c r="B41" s="4" t="s">
        <v>754</v>
      </c>
      <c r="C41" s="8">
        <v>264.4</v>
      </c>
      <c r="D41" s="8">
        <v>246.6</v>
      </c>
      <c r="E41" s="8">
        <v>211.9</v>
      </c>
      <c r="F41" s="8">
        <v>171.4</v>
      </c>
      <c r="G41" s="8">
        <v>166.72</v>
      </c>
      <c r="H41" s="8">
        <v>142.91</v>
      </c>
      <c r="I41" s="8">
        <v>138.23</v>
      </c>
      <c r="J41" s="8">
        <v>218.6</v>
      </c>
      <c r="K41" s="8">
        <v>196.5</v>
      </c>
      <c r="L41" s="8">
        <v>191.82</v>
      </c>
      <c r="M41" s="8">
        <v>230.2</v>
      </c>
      <c r="N41" s="8">
        <v>158.12</v>
      </c>
      <c r="O41" s="8">
        <v>195.5</v>
      </c>
      <c r="P41" s="8">
        <v>142.6</v>
      </c>
      <c r="Q41" s="8">
        <v>124.88</v>
      </c>
      <c r="R41" s="8">
        <v>120.2</v>
      </c>
      <c r="S41" s="8">
        <v>108.49</v>
      </c>
      <c r="T41" s="8">
        <v>103.81</v>
      </c>
      <c r="U41" s="9">
        <v>103</v>
      </c>
    </row>
    <row r="42" spans="1:21" ht="12.75" outlineLevel="1">
      <c r="A42" s="1">
        <f t="shared" si="0"/>
        <v>36</v>
      </c>
      <c r="B42" s="4" t="s">
        <v>755</v>
      </c>
      <c r="C42" s="8">
        <v>266.5</v>
      </c>
      <c r="D42" s="8">
        <v>248.8</v>
      </c>
      <c r="E42" s="8">
        <v>214.2</v>
      </c>
      <c r="F42" s="8">
        <v>173.54</v>
      </c>
      <c r="G42" s="8">
        <v>168.86</v>
      </c>
      <c r="H42" s="8">
        <v>144.76</v>
      </c>
      <c r="I42" s="8">
        <v>140.08</v>
      </c>
      <c r="J42" s="8">
        <v>220.9</v>
      </c>
      <c r="K42" s="8">
        <v>198.64</v>
      </c>
      <c r="L42" s="8">
        <v>193.96</v>
      </c>
      <c r="M42" s="8">
        <v>232.3</v>
      </c>
      <c r="N42" s="8">
        <v>160.3</v>
      </c>
      <c r="O42" s="8">
        <v>197.9</v>
      </c>
      <c r="P42" s="8">
        <v>145.11</v>
      </c>
      <c r="Q42" s="8">
        <v>127.39</v>
      </c>
      <c r="R42" s="8">
        <v>122.71</v>
      </c>
      <c r="S42" s="8">
        <v>110.65</v>
      </c>
      <c r="T42" s="8">
        <v>105.97</v>
      </c>
      <c r="U42" s="9">
        <v>105.5</v>
      </c>
    </row>
    <row r="43" spans="1:21" ht="12.75" outlineLevel="1">
      <c r="A43" s="1">
        <f t="shared" si="0"/>
        <v>37</v>
      </c>
      <c r="B43" s="4" t="s">
        <v>756</v>
      </c>
      <c r="C43" s="8">
        <v>266.5</v>
      </c>
      <c r="D43" s="8">
        <v>248.8</v>
      </c>
      <c r="E43" s="8">
        <v>214.2</v>
      </c>
      <c r="F43" s="8">
        <v>173.54</v>
      </c>
      <c r="G43" s="8">
        <v>168.86</v>
      </c>
      <c r="H43" s="8">
        <v>144.76</v>
      </c>
      <c r="I43" s="8">
        <v>140.08</v>
      </c>
      <c r="J43" s="8">
        <v>220.9</v>
      </c>
      <c r="K43" s="8">
        <v>198.64</v>
      </c>
      <c r="L43" s="8">
        <v>193.96</v>
      </c>
      <c r="M43" s="8">
        <v>232.3</v>
      </c>
      <c r="N43" s="8">
        <v>160.3</v>
      </c>
      <c r="O43" s="8">
        <v>197.9</v>
      </c>
      <c r="P43" s="8">
        <v>145.11</v>
      </c>
      <c r="Q43" s="8">
        <v>127.39</v>
      </c>
      <c r="R43" s="8">
        <v>122.71</v>
      </c>
      <c r="S43" s="8">
        <v>110.65</v>
      </c>
      <c r="T43" s="8">
        <v>105.97</v>
      </c>
      <c r="U43" s="9">
        <v>105.5</v>
      </c>
    </row>
    <row r="44" spans="1:21" ht="12.75" outlineLevel="1">
      <c r="A44" s="1">
        <f t="shared" si="0"/>
        <v>38</v>
      </c>
      <c r="B44" s="4" t="s">
        <v>757</v>
      </c>
      <c r="C44" s="8">
        <v>266.5</v>
      </c>
      <c r="D44" s="8">
        <v>248.8</v>
      </c>
      <c r="E44" s="8">
        <v>214.2</v>
      </c>
      <c r="F44" s="8">
        <v>173.54</v>
      </c>
      <c r="G44" s="8">
        <v>168.86</v>
      </c>
      <c r="H44" s="8">
        <v>144.76</v>
      </c>
      <c r="I44" s="8">
        <v>140.08</v>
      </c>
      <c r="J44" s="8">
        <v>220.9</v>
      </c>
      <c r="K44" s="8">
        <v>198.64</v>
      </c>
      <c r="L44" s="8">
        <v>193.96</v>
      </c>
      <c r="M44" s="8">
        <v>232.3</v>
      </c>
      <c r="N44" s="8">
        <v>160.3</v>
      </c>
      <c r="O44" s="8">
        <v>197.9</v>
      </c>
      <c r="P44" s="8">
        <v>145.11</v>
      </c>
      <c r="Q44" s="8">
        <v>127.39</v>
      </c>
      <c r="R44" s="8">
        <v>122.71</v>
      </c>
      <c r="S44" s="8">
        <v>110.65</v>
      </c>
      <c r="T44" s="8">
        <v>105.97</v>
      </c>
      <c r="U44" s="9">
        <v>105.5</v>
      </c>
    </row>
    <row r="45" spans="1:21" ht="12.75" outlineLevel="1">
      <c r="A45" s="1">
        <f t="shared" si="0"/>
        <v>39</v>
      </c>
      <c r="B45" s="4" t="s">
        <v>758</v>
      </c>
      <c r="C45" s="8">
        <v>264.5</v>
      </c>
      <c r="D45" s="8">
        <v>246.8</v>
      </c>
      <c r="E45" s="8">
        <v>214.2</v>
      </c>
      <c r="F45" s="8">
        <v>173.54</v>
      </c>
      <c r="G45" s="8">
        <v>168.86</v>
      </c>
      <c r="H45" s="8">
        <v>144.76</v>
      </c>
      <c r="I45" s="8">
        <v>140.08</v>
      </c>
      <c r="J45" s="8">
        <v>220.9</v>
      </c>
      <c r="K45" s="8">
        <v>198.64</v>
      </c>
      <c r="L45" s="8">
        <v>193.96</v>
      </c>
      <c r="M45" s="8">
        <v>232.3</v>
      </c>
      <c r="N45" s="8">
        <v>160.3</v>
      </c>
      <c r="O45" s="8">
        <v>197.9</v>
      </c>
      <c r="P45" s="8">
        <v>145.11</v>
      </c>
      <c r="Q45" s="8">
        <v>127.39</v>
      </c>
      <c r="R45" s="8">
        <v>122.71</v>
      </c>
      <c r="S45" s="8">
        <v>110.65</v>
      </c>
      <c r="T45" s="8">
        <v>105.97</v>
      </c>
      <c r="U45" s="9">
        <v>105.5</v>
      </c>
    </row>
    <row r="46" spans="1:21" ht="12.75" outlineLevel="1">
      <c r="A46" s="1">
        <f t="shared" si="0"/>
        <v>40</v>
      </c>
      <c r="B46" s="4" t="s">
        <v>759</v>
      </c>
      <c r="C46" s="8">
        <v>260.5</v>
      </c>
      <c r="D46" s="8">
        <v>242.8</v>
      </c>
      <c r="E46" s="8">
        <v>213</v>
      </c>
      <c r="F46" s="8">
        <v>172.29</v>
      </c>
      <c r="G46" s="8">
        <v>167.61</v>
      </c>
      <c r="H46" s="8">
        <v>143.82</v>
      </c>
      <c r="I46" s="8">
        <v>139.14</v>
      </c>
      <c r="J46" s="8">
        <v>219.7</v>
      </c>
      <c r="K46" s="8">
        <v>197.39</v>
      </c>
      <c r="L46" s="8">
        <v>192.71</v>
      </c>
      <c r="M46" s="8">
        <v>231.1</v>
      </c>
      <c r="N46" s="8">
        <v>159.3</v>
      </c>
      <c r="O46" s="8">
        <v>196.9</v>
      </c>
      <c r="P46" s="8">
        <v>144.29</v>
      </c>
      <c r="Q46" s="8">
        <v>126.59</v>
      </c>
      <c r="R46" s="8">
        <v>121.91</v>
      </c>
      <c r="S46" s="8">
        <v>109.96</v>
      </c>
      <c r="T46" s="8">
        <v>105.28</v>
      </c>
      <c r="U46" s="9">
        <v>105.5</v>
      </c>
    </row>
    <row r="47" spans="1:21" ht="12.75" outlineLevel="1">
      <c r="A47" s="1">
        <f t="shared" si="0"/>
        <v>41</v>
      </c>
      <c r="B47" s="4" t="s">
        <v>760</v>
      </c>
      <c r="C47" s="8">
        <v>256.5</v>
      </c>
      <c r="D47" s="8">
        <v>239.8</v>
      </c>
      <c r="E47" s="8">
        <v>211.7</v>
      </c>
      <c r="F47" s="8">
        <v>171.03</v>
      </c>
      <c r="G47" s="8">
        <v>166.35</v>
      </c>
      <c r="H47" s="8">
        <v>142.73</v>
      </c>
      <c r="I47" s="8">
        <v>138.05</v>
      </c>
      <c r="J47" s="8">
        <v>218.4</v>
      </c>
      <c r="K47" s="8">
        <v>196.13</v>
      </c>
      <c r="L47" s="8">
        <v>191.45</v>
      </c>
      <c r="M47" s="8">
        <v>227.7</v>
      </c>
      <c r="N47" s="8">
        <v>156.7</v>
      </c>
      <c r="O47" s="8">
        <v>194.6</v>
      </c>
      <c r="P47" s="8">
        <v>143.91</v>
      </c>
      <c r="Q47" s="8">
        <v>126.21</v>
      </c>
      <c r="R47" s="8">
        <v>121.53</v>
      </c>
      <c r="S47" s="8">
        <v>109.63</v>
      </c>
      <c r="T47" s="8">
        <v>104.95</v>
      </c>
      <c r="U47" s="9">
        <v>105.5</v>
      </c>
    </row>
    <row r="48" spans="1:21" ht="12.75" outlineLevel="1">
      <c r="A48" s="1">
        <f t="shared" si="0"/>
        <v>42</v>
      </c>
      <c r="B48" s="4" t="s">
        <v>761</v>
      </c>
      <c r="C48" s="8">
        <v>256.5</v>
      </c>
      <c r="D48" s="8">
        <v>239.8</v>
      </c>
      <c r="E48" s="8">
        <v>211.7</v>
      </c>
      <c r="F48" s="8">
        <v>171.03</v>
      </c>
      <c r="G48" s="8">
        <v>166.35</v>
      </c>
      <c r="H48" s="8">
        <v>142.73</v>
      </c>
      <c r="I48" s="8">
        <v>138.05</v>
      </c>
      <c r="J48" s="8">
        <v>218.4</v>
      </c>
      <c r="K48" s="8">
        <v>196.13</v>
      </c>
      <c r="L48" s="8">
        <v>191.45</v>
      </c>
      <c r="M48" s="8">
        <v>227.7</v>
      </c>
      <c r="N48" s="8">
        <v>156.7</v>
      </c>
      <c r="O48" s="8">
        <v>194.6</v>
      </c>
      <c r="P48" s="8">
        <v>143.91</v>
      </c>
      <c r="Q48" s="8">
        <v>126.21</v>
      </c>
      <c r="R48" s="8">
        <v>121.53</v>
      </c>
      <c r="S48" s="8">
        <v>109.63</v>
      </c>
      <c r="T48" s="8">
        <v>104.95</v>
      </c>
      <c r="U48" s="9">
        <v>105.5</v>
      </c>
    </row>
    <row r="49" spans="1:21" ht="12.75" outlineLevel="1">
      <c r="A49" s="1">
        <f t="shared" si="0"/>
        <v>43</v>
      </c>
      <c r="B49" s="4" t="s">
        <v>762</v>
      </c>
      <c r="C49" s="8">
        <v>256.5</v>
      </c>
      <c r="D49" s="8">
        <v>239.8</v>
      </c>
      <c r="E49" s="8">
        <v>211.7</v>
      </c>
      <c r="F49" s="8">
        <v>171.03</v>
      </c>
      <c r="G49" s="8">
        <v>166.35</v>
      </c>
      <c r="H49" s="8">
        <v>142.73</v>
      </c>
      <c r="I49" s="8">
        <v>138.05</v>
      </c>
      <c r="J49" s="8">
        <v>218.4</v>
      </c>
      <c r="K49" s="8">
        <v>196.13</v>
      </c>
      <c r="L49" s="8">
        <v>191.45</v>
      </c>
      <c r="M49" s="8">
        <v>227.7</v>
      </c>
      <c r="N49" s="8">
        <v>156.7</v>
      </c>
      <c r="O49" s="8">
        <v>194.6</v>
      </c>
      <c r="P49" s="8">
        <v>143.91</v>
      </c>
      <c r="Q49" s="8">
        <v>126.21</v>
      </c>
      <c r="R49" s="8">
        <v>121.53</v>
      </c>
      <c r="S49" s="8">
        <v>109.63</v>
      </c>
      <c r="T49" s="8">
        <v>104.95</v>
      </c>
      <c r="U49" s="9">
        <v>105.5</v>
      </c>
    </row>
    <row r="50" spans="1:21" ht="12.75" outlineLevel="1">
      <c r="A50" s="1">
        <f t="shared" si="0"/>
        <v>44</v>
      </c>
      <c r="B50" s="4" t="s">
        <v>763</v>
      </c>
      <c r="C50" s="8">
        <v>256.5</v>
      </c>
      <c r="D50" s="8">
        <v>239.8</v>
      </c>
      <c r="E50" s="8">
        <v>211.7</v>
      </c>
      <c r="F50" s="8">
        <v>171.03</v>
      </c>
      <c r="G50" s="8">
        <v>166.35</v>
      </c>
      <c r="H50" s="8">
        <v>142.73</v>
      </c>
      <c r="I50" s="8">
        <v>138.05</v>
      </c>
      <c r="J50" s="8">
        <v>218.4</v>
      </c>
      <c r="K50" s="8">
        <v>196.13</v>
      </c>
      <c r="L50" s="8">
        <v>191.45</v>
      </c>
      <c r="M50" s="8">
        <v>227.7</v>
      </c>
      <c r="N50" s="8">
        <v>156.7</v>
      </c>
      <c r="O50" s="8">
        <v>194.6</v>
      </c>
      <c r="P50" s="8">
        <v>143.91</v>
      </c>
      <c r="Q50" s="8">
        <v>126.21</v>
      </c>
      <c r="R50" s="8">
        <v>121.53</v>
      </c>
      <c r="S50" s="8">
        <v>109.63</v>
      </c>
      <c r="T50" s="8">
        <v>104.95</v>
      </c>
      <c r="U50" s="9">
        <v>105.5</v>
      </c>
    </row>
    <row r="51" spans="1:21" ht="12.75" outlineLevel="1">
      <c r="A51" s="1">
        <f t="shared" si="0"/>
        <v>45</v>
      </c>
      <c r="B51" s="4" t="s">
        <v>764</v>
      </c>
      <c r="C51" s="8">
        <v>250</v>
      </c>
      <c r="D51" s="8">
        <v>235</v>
      </c>
      <c r="E51" s="8">
        <v>210.7</v>
      </c>
      <c r="F51" s="8">
        <v>170.19</v>
      </c>
      <c r="G51" s="8">
        <v>165.51</v>
      </c>
      <c r="H51" s="8">
        <v>142.01</v>
      </c>
      <c r="I51" s="8">
        <v>137.33</v>
      </c>
      <c r="J51" s="8">
        <v>217.4</v>
      </c>
      <c r="K51" s="8">
        <v>195.29</v>
      </c>
      <c r="L51" s="8">
        <v>190.61</v>
      </c>
      <c r="M51" s="8">
        <v>226.7</v>
      </c>
      <c r="N51" s="8">
        <v>155.7</v>
      </c>
      <c r="O51" s="8">
        <v>193.6</v>
      </c>
      <c r="P51" s="8">
        <v>142.91</v>
      </c>
      <c r="Q51" s="8">
        <v>125.21</v>
      </c>
      <c r="R51" s="8">
        <v>120.53</v>
      </c>
      <c r="S51" s="8">
        <v>108.77</v>
      </c>
      <c r="T51" s="8">
        <v>104.09</v>
      </c>
      <c r="U51" s="9">
        <v>105.5</v>
      </c>
    </row>
    <row r="52" spans="1:21" ht="12.75" outlineLevel="1">
      <c r="A52" s="1">
        <f t="shared" si="0"/>
        <v>46</v>
      </c>
      <c r="B52" s="4" t="s">
        <v>765</v>
      </c>
      <c r="C52" s="8">
        <v>247.7</v>
      </c>
      <c r="D52" s="8">
        <v>233</v>
      </c>
      <c r="E52" s="8">
        <v>209.5</v>
      </c>
      <c r="F52" s="8">
        <v>168.29</v>
      </c>
      <c r="G52" s="8">
        <v>163.61</v>
      </c>
      <c r="H52" s="8">
        <v>140.37</v>
      </c>
      <c r="I52" s="8">
        <v>135.69</v>
      </c>
      <c r="J52" s="8">
        <v>216.2</v>
      </c>
      <c r="K52" s="8">
        <v>193.39</v>
      </c>
      <c r="L52" s="8">
        <v>188.71</v>
      </c>
      <c r="M52" s="8">
        <v>225.1</v>
      </c>
      <c r="N52" s="8">
        <v>153.8</v>
      </c>
      <c r="O52" s="8">
        <v>191.6</v>
      </c>
      <c r="P52" s="8">
        <v>141.81</v>
      </c>
      <c r="Q52" s="8">
        <v>124.11</v>
      </c>
      <c r="R52" s="8">
        <v>119.43</v>
      </c>
      <c r="S52" s="8">
        <v>107.82</v>
      </c>
      <c r="T52" s="8">
        <v>103.14</v>
      </c>
      <c r="U52" s="9">
        <v>104.5</v>
      </c>
    </row>
    <row r="53" spans="1:21" ht="12.75" outlineLevel="1">
      <c r="A53" s="1">
        <f t="shared" si="0"/>
        <v>47</v>
      </c>
      <c r="B53" s="4" t="s">
        <v>766</v>
      </c>
      <c r="C53" s="8">
        <v>245.3</v>
      </c>
      <c r="D53" s="8">
        <v>230.7</v>
      </c>
      <c r="E53" s="8">
        <v>208.4</v>
      </c>
      <c r="F53" s="8">
        <v>167.17</v>
      </c>
      <c r="G53" s="8">
        <v>162.49</v>
      </c>
      <c r="H53" s="8">
        <v>139.4</v>
      </c>
      <c r="I53" s="8">
        <v>134.72</v>
      </c>
      <c r="J53" s="8">
        <v>215.1</v>
      </c>
      <c r="K53" s="8">
        <v>192.27</v>
      </c>
      <c r="L53" s="8">
        <v>187.59</v>
      </c>
      <c r="M53" s="8">
        <v>223.8</v>
      </c>
      <c r="N53" s="8">
        <v>152.4</v>
      </c>
      <c r="O53" s="8">
        <v>190.1</v>
      </c>
      <c r="P53" s="8">
        <v>140.6</v>
      </c>
      <c r="Q53" s="8">
        <v>122.9</v>
      </c>
      <c r="R53" s="8">
        <v>118.22</v>
      </c>
      <c r="S53" s="8">
        <v>106.78</v>
      </c>
      <c r="T53" s="8">
        <v>102.1</v>
      </c>
      <c r="U53" s="9">
        <v>104.5</v>
      </c>
    </row>
    <row r="54" spans="1:21" ht="12.75" outlineLevel="1">
      <c r="A54" s="1">
        <f t="shared" si="0"/>
        <v>48</v>
      </c>
      <c r="B54" s="4" t="s">
        <v>767</v>
      </c>
      <c r="C54" s="8">
        <v>247.4</v>
      </c>
      <c r="D54" s="8">
        <v>232.7</v>
      </c>
      <c r="E54" s="8">
        <v>210.6</v>
      </c>
      <c r="F54" s="8">
        <v>169.3</v>
      </c>
      <c r="G54" s="8">
        <v>164.62</v>
      </c>
      <c r="H54" s="8">
        <v>141.24</v>
      </c>
      <c r="I54" s="8">
        <v>136.56</v>
      </c>
      <c r="J54" s="8">
        <v>217.3</v>
      </c>
      <c r="K54" s="8">
        <v>194.4</v>
      </c>
      <c r="L54" s="8">
        <v>189.72</v>
      </c>
      <c r="M54" s="8">
        <v>225.8</v>
      </c>
      <c r="N54" s="8">
        <v>154.4</v>
      </c>
      <c r="O54" s="8">
        <v>192.1</v>
      </c>
      <c r="P54" s="8">
        <v>142.86</v>
      </c>
      <c r="Q54" s="8">
        <v>125.15</v>
      </c>
      <c r="R54" s="8">
        <v>120.47</v>
      </c>
      <c r="S54" s="8">
        <v>108.72</v>
      </c>
      <c r="T54" s="8">
        <v>104.04</v>
      </c>
      <c r="U54" s="9">
        <v>106.5</v>
      </c>
    </row>
    <row r="55" spans="1:21" ht="12.75" outlineLevel="1">
      <c r="A55" s="1">
        <f t="shared" si="0"/>
        <v>49</v>
      </c>
      <c r="B55" s="4" t="s">
        <v>768</v>
      </c>
      <c r="C55" s="8">
        <v>249.4</v>
      </c>
      <c r="D55" s="8">
        <v>234.8</v>
      </c>
      <c r="E55" s="8">
        <v>213</v>
      </c>
      <c r="F55" s="8">
        <v>171.52</v>
      </c>
      <c r="G55" s="8">
        <v>166.84</v>
      </c>
      <c r="H55" s="8">
        <v>143.15</v>
      </c>
      <c r="I55" s="8">
        <v>138.47</v>
      </c>
      <c r="J55" s="8">
        <v>219.7</v>
      </c>
      <c r="K55" s="8">
        <v>196.62</v>
      </c>
      <c r="L55" s="8">
        <v>191.94</v>
      </c>
      <c r="M55" s="8">
        <v>227.8</v>
      </c>
      <c r="N55" s="8">
        <v>156.4</v>
      </c>
      <c r="O55" s="8">
        <v>194.2</v>
      </c>
      <c r="P55" s="8">
        <v>144.96</v>
      </c>
      <c r="Q55" s="8">
        <v>127.25</v>
      </c>
      <c r="R55" s="8">
        <v>122.57</v>
      </c>
      <c r="S55" s="8">
        <v>110.53</v>
      </c>
      <c r="T55" s="8">
        <v>105.85</v>
      </c>
      <c r="U55" s="9">
        <v>108.5</v>
      </c>
    </row>
    <row r="56" spans="1:21" ht="12.75" outlineLevel="1">
      <c r="A56" s="1">
        <f t="shared" si="0"/>
        <v>50</v>
      </c>
      <c r="B56" s="4" t="s">
        <v>769</v>
      </c>
      <c r="C56" s="8">
        <v>249.4</v>
      </c>
      <c r="D56" s="8">
        <v>234.8</v>
      </c>
      <c r="E56" s="8">
        <v>213</v>
      </c>
      <c r="F56" s="8">
        <v>171.52</v>
      </c>
      <c r="G56" s="8">
        <v>166.84</v>
      </c>
      <c r="H56" s="8">
        <v>143.15</v>
      </c>
      <c r="I56" s="8">
        <v>138.47</v>
      </c>
      <c r="J56" s="8">
        <v>219.7</v>
      </c>
      <c r="K56" s="8">
        <v>196.62</v>
      </c>
      <c r="L56" s="8">
        <v>191.94</v>
      </c>
      <c r="M56" s="8">
        <v>227.8</v>
      </c>
      <c r="N56" s="8">
        <v>156.4</v>
      </c>
      <c r="O56" s="8">
        <v>194.2</v>
      </c>
      <c r="P56" s="8">
        <v>144.96</v>
      </c>
      <c r="Q56" s="8">
        <v>127.25</v>
      </c>
      <c r="R56" s="8">
        <v>122.57</v>
      </c>
      <c r="S56" s="8">
        <v>110.53</v>
      </c>
      <c r="T56" s="8">
        <v>105.85</v>
      </c>
      <c r="U56" s="9">
        <v>108.5</v>
      </c>
    </row>
    <row r="57" spans="1:21" ht="12.75" outlineLevel="1">
      <c r="A57" s="1">
        <f t="shared" si="0"/>
        <v>51</v>
      </c>
      <c r="B57" s="4" t="s">
        <v>770</v>
      </c>
      <c r="C57" s="8">
        <v>249.4</v>
      </c>
      <c r="D57" s="8">
        <v>234.8</v>
      </c>
      <c r="E57" s="8">
        <v>213</v>
      </c>
      <c r="F57" s="8">
        <v>171.52</v>
      </c>
      <c r="G57" s="8">
        <v>166.84</v>
      </c>
      <c r="H57" s="8">
        <v>143.15</v>
      </c>
      <c r="I57" s="8">
        <v>138.47</v>
      </c>
      <c r="J57" s="8">
        <v>219.7</v>
      </c>
      <c r="K57" s="8">
        <v>196.62</v>
      </c>
      <c r="L57" s="8">
        <v>191.94</v>
      </c>
      <c r="M57" s="8">
        <v>227.8</v>
      </c>
      <c r="N57" s="8">
        <v>156.4</v>
      </c>
      <c r="O57" s="8">
        <v>194.2</v>
      </c>
      <c r="P57" s="8">
        <v>144.96</v>
      </c>
      <c r="Q57" s="8">
        <v>127.25</v>
      </c>
      <c r="R57" s="8">
        <v>122.57</v>
      </c>
      <c r="S57" s="8">
        <v>110.53</v>
      </c>
      <c r="T57" s="8">
        <v>105.85</v>
      </c>
      <c r="U57" s="9">
        <v>108.5</v>
      </c>
    </row>
    <row r="58" spans="1:21" ht="12.75" outlineLevel="1">
      <c r="A58" s="1">
        <f t="shared" si="0"/>
        <v>52</v>
      </c>
      <c r="B58" s="4" t="s">
        <v>771</v>
      </c>
      <c r="C58" s="8">
        <v>247.4</v>
      </c>
      <c r="D58" s="8">
        <v>232.8</v>
      </c>
      <c r="E58" s="8">
        <v>213</v>
      </c>
      <c r="F58" s="8">
        <v>171.52</v>
      </c>
      <c r="G58" s="8">
        <v>166.84</v>
      </c>
      <c r="H58" s="8">
        <v>143.15</v>
      </c>
      <c r="I58" s="8">
        <v>138.47</v>
      </c>
      <c r="J58" s="8">
        <v>219.7</v>
      </c>
      <c r="K58" s="8">
        <v>196.62</v>
      </c>
      <c r="L58" s="8">
        <v>191.94</v>
      </c>
      <c r="M58" s="8">
        <v>227.8</v>
      </c>
      <c r="N58" s="8">
        <v>156.4</v>
      </c>
      <c r="O58" s="8">
        <v>194.2</v>
      </c>
      <c r="P58" s="8">
        <v>144.96</v>
      </c>
      <c r="Q58" s="8">
        <v>127.25</v>
      </c>
      <c r="R58" s="8">
        <v>122.57</v>
      </c>
      <c r="S58" s="8">
        <v>110.53</v>
      </c>
      <c r="T58" s="8">
        <v>105.85</v>
      </c>
      <c r="U58" s="9">
        <v>108.5</v>
      </c>
    </row>
    <row r="59" spans="1:22" ht="12.75" outlineLevel="1">
      <c r="A59" s="1">
        <f t="shared" si="0"/>
        <v>53</v>
      </c>
      <c r="B59" s="4" t="s">
        <v>772</v>
      </c>
      <c r="C59" s="8">
        <v>247.4</v>
      </c>
      <c r="D59" s="8">
        <v>232.8</v>
      </c>
      <c r="E59" s="8">
        <v>213</v>
      </c>
      <c r="F59" s="8">
        <v>171.52</v>
      </c>
      <c r="G59" s="8">
        <v>166.84</v>
      </c>
      <c r="H59" s="8" t="s">
        <v>773</v>
      </c>
      <c r="I59" s="8">
        <v>138.47</v>
      </c>
      <c r="J59" s="8">
        <v>219.7</v>
      </c>
      <c r="K59" s="8">
        <v>196.62</v>
      </c>
      <c r="L59" s="8">
        <v>191.94</v>
      </c>
      <c r="M59" s="8">
        <v>227.8</v>
      </c>
      <c r="N59" s="8">
        <v>156.4</v>
      </c>
      <c r="O59" s="8">
        <v>194.2</v>
      </c>
      <c r="P59" s="8">
        <v>144.96</v>
      </c>
      <c r="Q59" s="8">
        <v>127.25</v>
      </c>
      <c r="R59" s="8">
        <v>122.57</v>
      </c>
      <c r="S59" s="8">
        <v>110.53</v>
      </c>
      <c r="T59" s="8">
        <v>105.85</v>
      </c>
      <c r="U59" s="12">
        <v>108.5</v>
      </c>
      <c r="V59" t="s">
        <v>774</v>
      </c>
    </row>
    <row r="60" spans="2:21" ht="13.5" thickBot="1">
      <c r="B60" s="2" t="s">
        <v>65</v>
      </c>
      <c r="C60" s="16">
        <f>SUM(C7:C59)/53</f>
        <v>251.64150943396217</v>
      </c>
      <c r="D60" s="16">
        <f aca="true" t="shared" si="1" ref="D60:U60">SUM(D7:D59)/53</f>
        <v>233.45660377358467</v>
      </c>
      <c r="E60" s="16">
        <f t="shared" si="1"/>
        <v>209.85849056603774</v>
      </c>
      <c r="F60" s="16">
        <f t="shared" si="1"/>
        <v>169.2915094339623</v>
      </c>
      <c r="G60" s="16">
        <f t="shared" si="1"/>
        <v>164.60075471698113</v>
      </c>
      <c r="H60" s="16">
        <f t="shared" si="1"/>
        <v>138.38452830188672</v>
      </c>
      <c r="I60" s="16">
        <f t="shared" si="1"/>
        <v>136.40547169811322</v>
      </c>
      <c r="J60" s="16">
        <f t="shared" si="1"/>
        <v>216.5584905660377</v>
      </c>
      <c r="K60" s="16">
        <f t="shared" si="1"/>
        <v>194.38962264150956</v>
      </c>
      <c r="L60" s="16">
        <f t="shared" si="1"/>
        <v>189.71471698113209</v>
      </c>
      <c r="M60" s="16">
        <f t="shared" si="1"/>
        <v>228.05283018867914</v>
      </c>
      <c r="N60" s="16">
        <f t="shared" si="1"/>
        <v>157.25792452830188</v>
      </c>
      <c r="O60" s="16">
        <f t="shared" si="1"/>
        <v>195.81886792452838</v>
      </c>
      <c r="P60" s="16">
        <f t="shared" si="1"/>
        <v>142.17811320754717</v>
      </c>
      <c r="Q60" s="16">
        <f t="shared" si="1"/>
        <v>124.46018867924529</v>
      </c>
      <c r="R60" s="16">
        <f t="shared" si="1"/>
        <v>119.78018867924527</v>
      </c>
      <c r="S60" s="16">
        <f t="shared" si="1"/>
        <v>108.10207547169811</v>
      </c>
      <c r="T60" s="16">
        <f t="shared" si="1"/>
        <v>101.42075471698114</v>
      </c>
      <c r="U60" s="16">
        <f t="shared" si="1"/>
        <v>100.79566037735853</v>
      </c>
    </row>
    <row r="61" ht="13.5" thickTop="1"/>
  </sheetData>
  <sheetProtection/>
  <mergeCells count="4">
    <mergeCell ref="A1:U1"/>
    <mergeCell ref="A3:U3"/>
    <mergeCell ref="C5:U5"/>
    <mergeCell ref="A2:U2"/>
  </mergeCells>
  <printOptions/>
  <pageMargins left="0.16" right="0.16" top="0.23" bottom="0.16" header="0.23" footer="0.16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9.140625" defaultRowHeight="12.75" outlineLevelRow="1"/>
  <cols>
    <col min="1" max="1" width="3.00390625" style="0" bestFit="1" customWidth="1"/>
    <col min="2" max="2" width="21.851562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717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775</v>
      </c>
      <c r="C7" s="8">
        <v>247.4</v>
      </c>
      <c r="D7" s="8">
        <v>232.8</v>
      </c>
      <c r="E7" s="8">
        <v>213</v>
      </c>
      <c r="F7" s="8">
        <v>171.52</v>
      </c>
      <c r="G7" s="8">
        <v>166.84</v>
      </c>
      <c r="H7" s="8">
        <v>143.15</v>
      </c>
      <c r="I7" s="8">
        <v>138.47</v>
      </c>
      <c r="J7" s="8">
        <v>219.7</v>
      </c>
      <c r="K7" s="8">
        <v>196.62</v>
      </c>
      <c r="L7" s="8">
        <v>191.94</v>
      </c>
      <c r="M7" s="8">
        <v>227.8</v>
      </c>
      <c r="N7" s="8">
        <v>156.4</v>
      </c>
      <c r="O7" s="8">
        <v>194.2</v>
      </c>
      <c r="P7" s="8">
        <v>144.96</v>
      </c>
      <c r="Q7" s="8">
        <v>127.25</v>
      </c>
      <c r="R7" s="8">
        <v>122.57</v>
      </c>
      <c r="S7" s="8">
        <v>110.53</v>
      </c>
      <c r="T7" s="8">
        <v>105.85</v>
      </c>
      <c r="U7" s="8">
        <v>108.5</v>
      </c>
    </row>
    <row r="8" spans="1:21" ht="12.75">
      <c r="A8" s="1">
        <f>A7+1</f>
        <v>2</v>
      </c>
      <c r="B8" s="4" t="s">
        <v>776</v>
      </c>
      <c r="C8" s="8">
        <v>247.4</v>
      </c>
      <c r="D8" s="8">
        <v>232.8</v>
      </c>
      <c r="E8" s="8">
        <v>213</v>
      </c>
      <c r="F8" s="8">
        <v>171.52</v>
      </c>
      <c r="G8" s="8">
        <v>166.84</v>
      </c>
      <c r="H8" s="8">
        <v>143.15</v>
      </c>
      <c r="I8" s="8">
        <v>138.47</v>
      </c>
      <c r="J8" s="8">
        <v>219.7</v>
      </c>
      <c r="K8" s="8">
        <v>196.62</v>
      </c>
      <c r="L8" s="8">
        <v>191.94</v>
      </c>
      <c r="M8" s="8">
        <v>227.8</v>
      </c>
      <c r="N8" s="8">
        <v>156.4</v>
      </c>
      <c r="O8" s="8">
        <v>194.2</v>
      </c>
      <c r="P8" s="8">
        <v>144.96</v>
      </c>
      <c r="Q8" s="8">
        <v>127.25</v>
      </c>
      <c r="R8" s="8">
        <v>122.57</v>
      </c>
      <c r="S8" s="8">
        <v>110.53</v>
      </c>
      <c r="T8" s="8">
        <v>105.85</v>
      </c>
      <c r="U8" s="8">
        <v>108.5</v>
      </c>
    </row>
    <row r="9" spans="1:21" ht="12.75">
      <c r="A9" s="1">
        <f>A8+1</f>
        <v>3</v>
      </c>
      <c r="B9" s="4" t="s">
        <v>777</v>
      </c>
      <c r="C9" s="8">
        <v>248.5</v>
      </c>
      <c r="D9" s="8">
        <v>233.8</v>
      </c>
      <c r="E9" s="8">
        <v>214.2</v>
      </c>
      <c r="F9" s="8">
        <v>172.51</v>
      </c>
      <c r="G9" s="8">
        <v>167.83</v>
      </c>
      <c r="H9" s="8">
        <v>144.01</v>
      </c>
      <c r="I9" s="8">
        <v>139.33</v>
      </c>
      <c r="J9" s="8">
        <v>220.9</v>
      </c>
      <c r="K9" s="8">
        <v>197.61</v>
      </c>
      <c r="L9" s="8">
        <v>192.93</v>
      </c>
      <c r="M9" s="8">
        <v>227.8</v>
      </c>
      <c r="N9" s="8">
        <v>158.1</v>
      </c>
      <c r="O9" s="8">
        <v>196.5</v>
      </c>
      <c r="P9" s="8">
        <v>144.96</v>
      </c>
      <c r="Q9" s="8">
        <v>127.25</v>
      </c>
      <c r="R9" s="8">
        <v>122.57</v>
      </c>
      <c r="S9" s="8">
        <v>110.53</v>
      </c>
      <c r="T9" s="8">
        <v>105.85</v>
      </c>
      <c r="U9" s="8">
        <v>110.5</v>
      </c>
    </row>
    <row r="10" spans="1:21" ht="12.75">
      <c r="A10" s="1">
        <f aca="true" t="shared" si="0" ref="A10:A59">A9+1</f>
        <v>4</v>
      </c>
      <c r="B10" s="4" t="s">
        <v>778</v>
      </c>
      <c r="C10" s="8">
        <v>248.5</v>
      </c>
      <c r="D10" s="8">
        <v>233.8</v>
      </c>
      <c r="E10" s="8">
        <v>214.2</v>
      </c>
      <c r="F10" s="8">
        <v>172.51</v>
      </c>
      <c r="G10" s="8">
        <v>167.83</v>
      </c>
      <c r="H10" s="8">
        <v>144.01</v>
      </c>
      <c r="I10" s="8">
        <v>139.33</v>
      </c>
      <c r="J10" s="8">
        <v>220.9</v>
      </c>
      <c r="K10" s="8">
        <v>197.61</v>
      </c>
      <c r="L10" s="8">
        <v>192.93</v>
      </c>
      <c r="M10" s="8">
        <v>227.8</v>
      </c>
      <c r="N10" s="8">
        <v>158.1</v>
      </c>
      <c r="O10" s="8">
        <v>196.5</v>
      </c>
      <c r="P10" s="8">
        <v>144.96</v>
      </c>
      <c r="Q10" s="8">
        <v>127.25</v>
      </c>
      <c r="R10" s="8">
        <v>122.57</v>
      </c>
      <c r="S10" s="8">
        <v>110.53</v>
      </c>
      <c r="T10" s="8">
        <v>105.85</v>
      </c>
      <c r="U10" s="8">
        <v>110.5</v>
      </c>
    </row>
    <row r="11" spans="1:21" ht="12.75">
      <c r="A11" s="1">
        <f t="shared" si="0"/>
        <v>5</v>
      </c>
      <c r="B11" s="4" t="s">
        <v>779</v>
      </c>
      <c r="C11" s="8">
        <v>250.6</v>
      </c>
      <c r="D11" s="8">
        <v>235.8</v>
      </c>
      <c r="E11" s="8">
        <v>216.4</v>
      </c>
      <c r="F11" s="8">
        <v>174.51</v>
      </c>
      <c r="G11" s="8">
        <v>169.83</v>
      </c>
      <c r="H11" s="8">
        <v>145.73</v>
      </c>
      <c r="I11" s="8">
        <v>141.05</v>
      </c>
      <c r="J11" s="8">
        <v>223.1</v>
      </c>
      <c r="K11" s="8">
        <v>199.61</v>
      </c>
      <c r="L11" s="8">
        <v>194.93</v>
      </c>
      <c r="M11" s="8">
        <v>229.8</v>
      </c>
      <c r="N11" s="8">
        <v>160.1</v>
      </c>
      <c r="O11" s="8">
        <v>198.5</v>
      </c>
      <c r="P11" s="8">
        <v>147.21</v>
      </c>
      <c r="Q11" s="8">
        <v>129.5</v>
      </c>
      <c r="R11" s="8">
        <v>124.82</v>
      </c>
      <c r="S11" s="8">
        <v>112.47</v>
      </c>
      <c r="T11" s="8">
        <v>107.79</v>
      </c>
      <c r="U11" s="8">
        <v>114.99</v>
      </c>
    </row>
    <row r="12" spans="1:21" ht="12.75">
      <c r="A12" s="1">
        <f t="shared" si="0"/>
        <v>6</v>
      </c>
      <c r="B12" s="4" t="s">
        <v>780</v>
      </c>
      <c r="C12" s="8">
        <v>250.6</v>
      </c>
      <c r="D12" s="8">
        <v>235.8</v>
      </c>
      <c r="E12" s="8">
        <v>216.4</v>
      </c>
      <c r="F12" s="8">
        <v>174.51</v>
      </c>
      <c r="G12" s="8">
        <v>169.83</v>
      </c>
      <c r="H12" s="8">
        <v>145.73</v>
      </c>
      <c r="I12" s="8">
        <v>141.05</v>
      </c>
      <c r="J12" s="8">
        <v>223.1</v>
      </c>
      <c r="K12" s="8">
        <v>199.61</v>
      </c>
      <c r="L12" s="8">
        <v>194.93</v>
      </c>
      <c r="M12" s="8">
        <v>229.8</v>
      </c>
      <c r="N12" s="8">
        <v>160.1</v>
      </c>
      <c r="O12" s="8">
        <v>198.5</v>
      </c>
      <c r="P12" s="8">
        <v>147.21</v>
      </c>
      <c r="Q12" s="8">
        <v>129.5</v>
      </c>
      <c r="R12" s="8">
        <v>124.82</v>
      </c>
      <c r="S12" s="8">
        <v>112.47</v>
      </c>
      <c r="T12" s="8">
        <v>107.79</v>
      </c>
      <c r="U12" s="8">
        <v>116.9</v>
      </c>
    </row>
    <row r="13" spans="1:21" ht="12.75">
      <c r="A13" s="1">
        <f t="shared" si="0"/>
        <v>7</v>
      </c>
      <c r="B13" s="4" t="s">
        <v>781</v>
      </c>
      <c r="C13" s="8">
        <v>250.6</v>
      </c>
      <c r="D13" s="8">
        <v>235.8</v>
      </c>
      <c r="E13" s="8">
        <v>216.4</v>
      </c>
      <c r="F13" s="8">
        <v>174.51</v>
      </c>
      <c r="G13" s="8">
        <v>169.83</v>
      </c>
      <c r="H13" s="8">
        <v>145.73</v>
      </c>
      <c r="I13" s="8">
        <v>141.05</v>
      </c>
      <c r="J13" s="8">
        <v>223.1</v>
      </c>
      <c r="K13" s="8">
        <v>199.61</v>
      </c>
      <c r="L13" s="8">
        <v>194.93</v>
      </c>
      <c r="M13" s="8">
        <v>229.8</v>
      </c>
      <c r="N13" s="8">
        <v>160.1</v>
      </c>
      <c r="O13" s="8">
        <v>198.5</v>
      </c>
      <c r="P13" s="8">
        <v>147.21</v>
      </c>
      <c r="Q13" s="8">
        <v>129.5</v>
      </c>
      <c r="R13" s="8">
        <v>124.82</v>
      </c>
      <c r="S13" s="8">
        <v>112.47</v>
      </c>
      <c r="T13" s="8">
        <v>107.79</v>
      </c>
      <c r="U13" s="8">
        <v>116.9</v>
      </c>
    </row>
    <row r="14" spans="1:21" ht="12.75">
      <c r="A14" s="1">
        <f t="shared" si="0"/>
        <v>8</v>
      </c>
      <c r="B14" s="4" t="s">
        <v>782</v>
      </c>
      <c r="C14" s="8">
        <v>250.6</v>
      </c>
      <c r="D14" s="8">
        <v>235.8</v>
      </c>
      <c r="E14" s="8">
        <v>216.4</v>
      </c>
      <c r="F14" s="8">
        <v>174.51</v>
      </c>
      <c r="G14" s="8">
        <v>169.83</v>
      </c>
      <c r="H14" s="8">
        <v>145.73</v>
      </c>
      <c r="I14" s="8">
        <v>141.05</v>
      </c>
      <c r="J14" s="8">
        <v>223.1</v>
      </c>
      <c r="K14" s="8">
        <v>199.61</v>
      </c>
      <c r="L14" s="8">
        <v>194.93</v>
      </c>
      <c r="M14" s="8">
        <v>229.8</v>
      </c>
      <c r="N14" s="8">
        <v>160.1</v>
      </c>
      <c r="O14" s="8">
        <v>198.5</v>
      </c>
      <c r="P14" s="8">
        <v>147.21</v>
      </c>
      <c r="Q14" s="8">
        <v>129.5</v>
      </c>
      <c r="R14" s="8">
        <v>124.82</v>
      </c>
      <c r="S14" s="8">
        <v>112.47</v>
      </c>
      <c r="T14" s="8">
        <v>107.79</v>
      </c>
      <c r="U14" s="8">
        <v>116.9</v>
      </c>
    </row>
    <row r="15" spans="1:21" ht="12.75">
      <c r="A15" s="1">
        <f t="shared" si="0"/>
        <v>9</v>
      </c>
      <c r="B15" s="4" t="s">
        <v>783</v>
      </c>
      <c r="C15" s="8">
        <v>253</v>
      </c>
      <c r="D15" s="8">
        <v>237.8</v>
      </c>
      <c r="E15" s="8">
        <v>216.4</v>
      </c>
      <c r="F15" s="8">
        <v>174.51</v>
      </c>
      <c r="G15" s="8">
        <v>169.83</v>
      </c>
      <c r="H15" s="8">
        <v>145.73</v>
      </c>
      <c r="I15" s="8">
        <v>141.05</v>
      </c>
      <c r="J15" s="8">
        <v>223.1</v>
      </c>
      <c r="K15" s="8">
        <v>199.61</v>
      </c>
      <c r="L15" s="8">
        <v>194.93</v>
      </c>
      <c r="M15" s="8">
        <v>234.1</v>
      </c>
      <c r="N15" s="8">
        <v>163.8</v>
      </c>
      <c r="O15" s="8">
        <v>203</v>
      </c>
      <c r="P15" s="8">
        <v>147.21</v>
      </c>
      <c r="Q15" s="8">
        <v>129.5</v>
      </c>
      <c r="R15" s="8">
        <v>124.82</v>
      </c>
      <c r="S15" s="8">
        <v>112.47</v>
      </c>
      <c r="T15" s="8">
        <v>107.79</v>
      </c>
      <c r="U15" s="8">
        <v>116.9</v>
      </c>
    </row>
    <row r="16" spans="1:21" ht="12.75">
      <c r="A16" s="1">
        <f t="shared" si="0"/>
        <v>10</v>
      </c>
      <c r="B16" s="4" t="s">
        <v>784</v>
      </c>
      <c r="C16" s="8">
        <v>253</v>
      </c>
      <c r="D16" s="8">
        <v>237.8</v>
      </c>
      <c r="E16" s="8">
        <v>216.4</v>
      </c>
      <c r="F16" s="8">
        <v>174.51</v>
      </c>
      <c r="G16" s="8">
        <v>169.83</v>
      </c>
      <c r="H16" s="8">
        <v>145.73</v>
      </c>
      <c r="I16" s="8">
        <v>141.05</v>
      </c>
      <c r="J16" s="8">
        <v>223.1</v>
      </c>
      <c r="K16" s="8">
        <v>199.61</v>
      </c>
      <c r="L16" s="8">
        <v>194.93</v>
      </c>
      <c r="M16" s="8">
        <v>234.1</v>
      </c>
      <c r="N16" s="8">
        <v>163.8</v>
      </c>
      <c r="O16" s="8">
        <v>203</v>
      </c>
      <c r="P16" s="8">
        <v>147.21</v>
      </c>
      <c r="Q16" s="8">
        <v>129.5</v>
      </c>
      <c r="R16" s="8">
        <v>124.82</v>
      </c>
      <c r="S16" s="8">
        <v>112.47</v>
      </c>
      <c r="T16" s="8">
        <v>107.79</v>
      </c>
      <c r="U16" s="8">
        <v>116.9</v>
      </c>
    </row>
    <row r="17" spans="1:21" ht="12.75">
      <c r="A17" s="1">
        <f t="shared" si="0"/>
        <v>11</v>
      </c>
      <c r="B17" s="4" t="s">
        <v>785</v>
      </c>
      <c r="C17" s="8">
        <v>255.2</v>
      </c>
      <c r="D17" s="8">
        <v>239.8</v>
      </c>
      <c r="E17" s="8">
        <v>218.6</v>
      </c>
      <c r="F17" s="8">
        <v>176.57</v>
      </c>
      <c r="G17" s="8">
        <v>171.89</v>
      </c>
      <c r="H17" s="8">
        <v>147.51</v>
      </c>
      <c r="I17" s="8">
        <v>142.83</v>
      </c>
      <c r="J17" s="8">
        <v>225.3</v>
      </c>
      <c r="K17" s="8">
        <v>201.67</v>
      </c>
      <c r="L17" s="8">
        <v>196.99</v>
      </c>
      <c r="M17" s="8">
        <v>235.5</v>
      </c>
      <c r="N17" s="8">
        <v>165.8</v>
      </c>
      <c r="O17" s="8">
        <v>205.7</v>
      </c>
      <c r="P17" s="8">
        <v>147.21</v>
      </c>
      <c r="Q17" s="8">
        <v>129.5</v>
      </c>
      <c r="R17" s="8">
        <v>124.82</v>
      </c>
      <c r="S17" s="8">
        <v>112.47</v>
      </c>
      <c r="T17" s="8">
        <v>107.79</v>
      </c>
      <c r="U17" s="8">
        <v>116.9</v>
      </c>
    </row>
    <row r="18" spans="1:21" ht="12.75">
      <c r="A18" s="1">
        <f t="shared" si="0"/>
        <v>12</v>
      </c>
      <c r="B18" s="4" t="s">
        <v>786</v>
      </c>
      <c r="C18" s="17">
        <v>225.2</v>
      </c>
      <c r="D18" s="17">
        <v>239.8</v>
      </c>
      <c r="E18" s="17">
        <v>216.8</v>
      </c>
      <c r="F18" s="17">
        <v>174.28</v>
      </c>
      <c r="G18" s="17">
        <v>169.6</v>
      </c>
      <c r="H18" s="17">
        <v>145.53</v>
      </c>
      <c r="I18" s="17">
        <v>140.85</v>
      </c>
      <c r="J18" s="17">
        <v>223.6</v>
      </c>
      <c r="K18" s="17">
        <v>199.86</v>
      </c>
      <c r="L18" s="17">
        <v>195.18</v>
      </c>
      <c r="M18" s="17">
        <v>233.4</v>
      </c>
      <c r="N18" s="17">
        <v>165.8</v>
      </c>
      <c r="O18" s="17">
        <v>205.7</v>
      </c>
      <c r="P18" s="17">
        <v>147.21</v>
      </c>
      <c r="Q18" s="17">
        <v>129.5</v>
      </c>
      <c r="R18" s="17">
        <v>124.82</v>
      </c>
      <c r="S18" s="17">
        <v>112.47</v>
      </c>
      <c r="T18" s="17">
        <v>107.79</v>
      </c>
      <c r="U18" s="17">
        <v>114.9</v>
      </c>
    </row>
    <row r="19" spans="1:21" ht="12.75">
      <c r="A19" s="1">
        <f t="shared" si="0"/>
        <v>13</v>
      </c>
      <c r="B19" s="4" t="s">
        <v>787</v>
      </c>
      <c r="C19" s="17">
        <v>225.2</v>
      </c>
      <c r="D19" s="17">
        <v>239.8</v>
      </c>
      <c r="E19" s="17">
        <v>216.8</v>
      </c>
      <c r="F19" s="17">
        <v>174.28</v>
      </c>
      <c r="G19" s="17">
        <v>169.6</v>
      </c>
      <c r="H19" s="17">
        <v>145.53</v>
      </c>
      <c r="I19" s="17">
        <v>140.85</v>
      </c>
      <c r="J19" s="17">
        <v>223.6</v>
      </c>
      <c r="K19" s="17">
        <v>199.86</v>
      </c>
      <c r="L19" s="17">
        <v>195.18</v>
      </c>
      <c r="M19" s="17">
        <v>233.4</v>
      </c>
      <c r="N19" s="17">
        <v>165.8</v>
      </c>
      <c r="O19" s="17">
        <v>205.7</v>
      </c>
      <c r="P19" s="17">
        <v>147.21</v>
      </c>
      <c r="Q19" s="17">
        <v>129.5</v>
      </c>
      <c r="R19" s="17">
        <v>124.82</v>
      </c>
      <c r="S19" s="17">
        <v>112.47</v>
      </c>
      <c r="T19" s="17">
        <v>107.79</v>
      </c>
      <c r="U19" s="17">
        <v>114.9</v>
      </c>
    </row>
    <row r="20" spans="1:21" ht="12.75">
      <c r="A20" s="1">
        <f t="shared" si="0"/>
        <v>14</v>
      </c>
      <c r="B20" s="4" t="s">
        <v>788</v>
      </c>
      <c r="C20" s="17">
        <v>257.2</v>
      </c>
      <c r="D20" s="17">
        <v>241.8</v>
      </c>
      <c r="E20" s="17">
        <v>216.8</v>
      </c>
      <c r="F20" s="17">
        <v>174.28</v>
      </c>
      <c r="G20" s="17">
        <v>169.6</v>
      </c>
      <c r="H20" s="17">
        <v>145.53</v>
      </c>
      <c r="I20" s="17">
        <v>140.85</v>
      </c>
      <c r="J20" s="17">
        <v>223.6</v>
      </c>
      <c r="K20" s="17">
        <v>199.86</v>
      </c>
      <c r="L20" s="17">
        <v>195.18</v>
      </c>
      <c r="M20" s="17">
        <v>233.4</v>
      </c>
      <c r="N20" s="17">
        <v>165.8</v>
      </c>
      <c r="O20" s="17">
        <v>205.7</v>
      </c>
      <c r="P20" s="17">
        <v>147.21</v>
      </c>
      <c r="Q20" s="17">
        <v>129.5</v>
      </c>
      <c r="R20" s="17">
        <v>124.82</v>
      </c>
      <c r="S20" s="17">
        <v>112.47</v>
      </c>
      <c r="T20" s="17">
        <v>107.79</v>
      </c>
      <c r="U20" s="17">
        <v>114.9</v>
      </c>
    </row>
    <row r="21" spans="1:21" ht="12.75">
      <c r="A21" s="1">
        <f t="shared" si="0"/>
        <v>15</v>
      </c>
      <c r="B21" s="4" t="s">
        <v>790</v>
      </c>
      <c r="C21" s="17">
        <v>259.3</v>
      </c>
      <c r="D21" s="17">
        <v>243.2</v>
      </c>
      <c r="E21" s="17">
        <v>216.8</v>
      </c>
      <c r="F21" s="17">
        <v>174.28</v>
      </c>
      <c r="G21" s="17">
        <v>169.6</v>
      </c>
      <c r="H21" s="17">
        <v>145.53</v>
      </c>
      <c r="I21" s="17">
        <v>140.85</v>
      </c>
      <c r="J21" s="17">
        <v>223.6</v>
      </c>
      <c r="K21" s="17">
        <v>199.86</v>
      </c>
      <c r="L21" s="17">
        <v>195.18</v>
      </c>
      <c r="M21" s="17">
        <v>233.4</v>
      </c>
      <c r="N21" s="17">
        <v>165.8</v>
      </c>
      <c r="O21" s="17">
        <v>205.7</v>
      </c>
      <c r="P21" s="17">
        <v>147.21</v>
      </c>
      <c r="Q21" s="17">
        <v>129.5</v>
      </c>
      <c r="R21" s="17">
        <v>124.82</v>
      </c>
      <c r="S21" s="17">
        <v>112.47</v>
      </c>
      <c r="T21" s="17">
        <v>107.79</v>
      </c>
      <c r="U21" s="17">
        <v>114.9</v>
      </c>
    </row>
    <row r="22" spans="1:21" ht="12.75">
      <c r="A22" s="1">
        <f t="shared" si="0"/>
        <v>16</v>
      </c>
      <c r="B22" s="4" t="s">
        <v>789</v>
      </c>
      <c r="C22" s="17">
        <v>259.3</v>
      </c>
      <c r="D22" s="17">
        <v>243.2</v>
      </c>
      <c r="E22" s="17">
        <v>216.8</v>
      </c>
      <c r="F22" s="17">
        <v>174.28</v>
      </c>
      <c r="G22" s="17">
        <v>169.6</v>
      </c>
      <c r="H22" s="17">
        <v>145.53</v>
      </c>
      <c r="I22" s="17">
        <v>140.85</v>
      </c>
      <c r="J22" s="17">
        <v>223.6</v>
      </c>
      <c r="K22" s="17">
        <v>199.86</v>
      </c>
      <c r="L22" s="17">
        <v>195.18</v>
      </c>
      <c r="M22" s="17">
        <v>233.4</v>
      </c>
      <c r="N22" s="17">
        <v>165.8</v>
      </c>
      <c r="O22" s="17">
        <v>205.7</v>
      </c>
      <c r="P22" s="17">
        <v>147.21</v>
      </c>
      <c r="Q22" s="17">
        <v>129.5</v>
      </c>
      <c r="R22" s="17">
        <v>124.82</v>
      </c>
      <c r="S22" s="17">
        <v>112.47</v>
      </c>
      <c r="T22" s="17">
        <v>107.79</v>
      </c>
      <c r="U22" s="17">
        <v>114.9</v>
      </c>
    </row>
    <row r="23" spans="1:21" ht="12.75">
      <c r="A23" s="1">
        <f t="shared" si="0"/>
        <v>17</v>
      </c>
      <c r="B23" s="4" t="s">
        <v>791</v>
      </c>
      <c r="C23" s="17">
        <v>259.3</v>
      </c>
      <c r="D23" s="17">
        <v>243.2</v>
      </c>
      <c r="E23" s="17">
        <v>216.8</v>
      </c>
      <c r="F23" s="17">
        <v>174.28</v>
      </c>
      <c r="G23" s="17">
        <v>169.6</v>
      </c>
      <c r="H23" s="17">
        <v>145.53</v>
      </c>
      <c r="I23" s="17">
        <v>140.85</v>
      </c>
      <c r="J23" s="17">
        <v>223.6</v>
      </c>
      <c r="K23" s="17">
        <v>199.86</v>
      </c>
      <c r="L23" s="17">
        <v>195.18</v>
      </c>
      <c r="M23" s="17">
        <v>233.4</v>
      </c>
      <c r="N23" s="17">
        <v>165.8</v>
      </c>
      <c r="O23" s="17">
        <v>205.7</v>
      </c>
      <c r="P23" s="17">
        <v>147.21</v>
      </c>
      <c r="Q23" s="17">
        <v>129.5</v>
      </c>
      <c r="R23" s="17">
        <v>124.82</v>
      </c>
      <c r="S23" s="17">
        <v>112.47</v>
      </c>
      <c r="T23" s="17">
        <v>107.79</v>
      </c>
      <c r="U23" s="17">
        <v>114.9</v>
      </c>
    </row>
    <row r="24" spans="1:21" ht="12.75">
      <c r="A24" s="1">
        <f t="shared" si="0"/>
        <v>18</v>
      </c>
      <c r="B24" s="4" t="s">
        <v>792</v>
      </c>
      <c r="C24" s="17">
        <v>262.3</v>
      </c>
      <c r="D24" s="17">
        <v>246.2</v>
      </c>
      <c r="E24" s="17">
        <v>219.5</v>
      </c>
      <c r="F24" s="17">
        <v>176.11</v>
      </c>
      <c r="G24" s="17">
        <v>171.43</v>
      </c>
      <c r="H24" s="17">
        <v>147.11</v>
      </c>
      <c r="I24" s="17">
        <v>142.43</v>
      </c>
      <c r="J24" s="17">
        <v>226.5</v>
      </c>
      <c r="K24" s="17">
        <v>202.65</v>
      </c>
      <c r="L24" s="17">
        <v>197.97</v>
      </c>
      <c r="M24" s="17">
        <v>235</v>
      </c>
      <c r="N24" s="17">
        <v>165.8</v>
      </c>
      <c r="O24" s="17">
        <v>205.7</v>
      </c>
      <c r="P24" s="17">
        <v>147.21</v>
      </c>
      <c r="Q24" s="17">
        <v>129.5</v>
      </c>
      <c r="R24" s="17">
        <v>124.82</v>
      </c>
      <c r="S24" s="17">
        <v>112.47</v>
      </c>
      <c r="T24" s="17">
        <v>107.79</v>
      </c>
      <c r="U24" s="17">
        <v>114.9</v>
      </c>
    </row>
    <row r="25" spans="1:21" ht="12.75">
      <c r="A25" s="1">
        <f t="shared" si="0"/>
        <v>19</v>
      </c>
      <c r="B25" s="4" t="s">
        <v>793</v>
      </c>
      <c r="C25" s="8">
        <v>264.7</v>
      </c>
      <c r="D25" s="8">
        <v>248.1</v>
      </c>
      <c r="E25" s="8">
        <v>219.5</v>
      </c>
      <c r="F25" s="8">
        <v>176.11</v>
      </c>
      <c r="G25" s="8">
        <v>171.43</v>
      </c>
      <c r="H25" s="8">
        <v>147.11</v>
      </c>
      <c r="I25" s="8">
        <v>142.43</v>
      </c>
      <c r="J25" s="8">
        <v>226.5</v>
      </c>
      <c r="K25" s="8">
        <v>202.65</v>
      </c>
      <c r="L25" s="8">
        <v>197.97</v>
      </c>
      <c r="M25" s="8">
        <v>235</v>
      </c>
      <c r="N25" s="8">
        <v>165.8</v>
      </c>
      <c r="O25" s="8">
        <v>205.7</v>
      </c>
      <c r="P25" s="8">
        <v>147.21</v>
      </c>
      <c r="Q25" s="8">
        <v>129.5</v>
      </c>
      <c r="R25" s="8">
        <v>124.82</v>
      </c>
      <c r="S25" s="8">
        <v>112.47</v>
      </c>
      <c r="T25" s="8">
        <v>107.79</v>
      </c>
      <c r="U25" s="8">
        <v>114.9</v>
      </c>
    </row>
    <row r="26" spans="1:21" ht="12.75">
      <c r="A26" s="1">
        <f t="shared" si="0"/>
        <v>20</v>
      </c>
      <c r="B26" s="4" t="s">
        <v>794</v>
      </c>
      <c r="C26" s="8">
        <v>264.7</v>
      </c>
      <c r="D26" s="8">
        <v>248.1</v>
      </c>
      <c r="E26" s="8">
        <v>219.5</v>
      </c>
      <c r="F26" s="8">
        <v>176.11</v>
      </c>
      <c r="G26" s="8">
        <v>171.43</v>
      </c>
      <c r="H26" s="8">
        <v>147.11</v>
      </c>
      <c r="I26" s="8">
        <v>142.43</v>
      </c>
      <c r="J26" s="8">
        <v>226.5</v>
      </c>
      <c r="K26" s="8">
        <v>202.65</v>
      </c>
      <c r="L26" s="8">
        <v>197.97</v>
      </c>
      <c r="M26" s="8">
        <v>235</v>
      </c>
      <c r="N26" s="8">
        <v>165.8</v>
      </c>
      <c r="O26" s="8">
        <v>205.7</v>
      </c>
      <c r="P26" s="8">
        <v>147.21</v>
      </c>
      <c r="Q26" s="8">
        <v>129.5</v>
      </c>
      <c r="R26" s="8">
        <v>124.82</v>
      </c>
      <c r="S26" s="8">
        <v>112.47</v>
      </c>
      <c r="T26" s="8">
        <v>107.79</v>
      </c>
      <c r="U26" s="8">
        <v>114.9</v>
      </c>
    </row>
    <row r="27" spans="1:21" ht="12.75">
      <c r="A27" s="1">
        <f t="shared" si="0"/>
        <v>21</v>
      </c>
      <c r="B27" s="4" t="s">
        <v>795</v>
      </c>
      <c r="C27" s="8">
        <v>264.7</v>
      </c>
      <c r="D27" s="8">
        <v>248.1</v>
      </c>
      <c r="E27" s="8">
        <v>218</v>
      </c>
      <c r="F27" s="8" t="s">
        <v>796</v>
      </c>
      <c r="G27" s="8">
        <v>169.63</v>
      </c>
      <c r="H27" s="8">
        <v>145.56</v>
      </c>
      <c r="I27" s="8">
        <v>140.8</v>
      </c>
      <c r="J27" s="8">
        <v>225</v>
      </c>
      <c r="K27" s="8">
        <v>200.85</v>
      </c>
      <c r="L27" s="8">
        <v>196.17</v>
      </c>
      <c r="M27" s="8">
        <v>233.5</v>
      </c>
      <c r="N27" s="8">
        <v>163.4</v>
      </c>
      <c r="O27" s="8">
        <v>203.1</v>
      </c>
      <c r="P27" s="8">
        <v>146.05</v>
      </c>
      <c r="Q27" s="8">
        <v>128.38</v>
      </c>
      <c r="R27" s="8">
        <v>123.7</v>
      </c>
      <c r="S27" s="8">
        <v>111.5</v>
      </c>
      <c r="T27" s="8">
        <v>106.82</v>
      </c>
      <c r="U27" s="8">
        <v>113</v>
      </c>
    </row>
    <row r="28" spans="1:21" ht="12.75">
      <c r="A28" s="1">
        <f t="shared" si="0"/>
        <v>22</v>
      </c>
      <c r="B28" s="4" t="s">
        <v>797</v>
      </c>
      <c r="C28" s="8">
        <v>266.7</v>
      </c>
      <c r="D28" s="8">
        <v>250.2</v>
      </c>
      <c r="E28" s="8">
        <v>218</v>
      </c>
      <c r="F28" s="8">
        <v>174.31</v>
      </c>
      <c r="G28" s="8">
        <v>169.63</v>
      </c>
      <c r="H28" s="8">
        <v>145.56</v>
      </c>
      <c r="I28" s="8">
        <v>140.88</v>
      </c>
      <c r="J28" s="8">
        <v>225</v>
      </c>
      <c r="K28" s="8">
        <v>200.85</v>
      </c>
      <c r="L28" s="8">
        <v>196.17</v>
      </c>
      <c r="M28" s="8">
        <v>233.5</v>
      </c>
      <c r="N28" s="8">
        <v>163.4</v>
      </c>
      <c r="O28" s="8">
        <v>203.1</v>
      </c>
      <c r="P28" s="8">
        <v>146.05</v>
      </c>
      <c r="Q28" s="8">
        <v>128.38</v>
      </c>
      <c r="R28" s="8">
        <v>123.7</v>
      </c>
      <c r="S28" s="8">
        <v>111.5</v>
      </c>
      <c r="T28" s="8">
        <v>106.82</v>
      </c>
      <c r="U28" s="8">
        <v>113</v>
      </c>
    </row>
    <row r="29" spans="1:21" ht="12.75">
      <c r="A29" s="1">
        <f t="shared" si="0"/>
        <v>23</v>
      </c>
      <c r="B29" s="4" t="s">
        <v>798</v>
      </c>
      <c r="C29" s="8">
        <v>266.7</v>
      </c>
      <c r="D29" s="8">
        <v>250.2</v>
      </c>
      <c r="E29" s="8">
        <v>218</v>
      </c>
      <c r="F29" s="8">
        <v>174.31</v>
      </c>
      <c r="G29" s="8">
        <v>169.63</v>
      </c>
      <c r="H29" s="8">
        <v>145.56</v>
      </c>
      <c r="I29" s="8">
        <v>140.88</v>
      </c>
      <c r="J29" s="8">
        <v>225</v>
      </c>
      <c r="K29" s="8">
        <v>200.85</v>
      </c>
      <c r="L29" s="8">
        <v>196.17</v>
      </c>
      <c r="M29" s="8">
        <v>233.5</v>
      </c>
      <c r="N29" s="8">
        <v>163.4</v>
      </c>
      <c r="O29" s="8">
        <v>203.1</v>
      </c>
      <c r="P29" s="8">
        <v>146.05</v>
      </c>
      <c r="Q29" s="8">
        <v>128.38</v>
      </c>
      <c r="R29" s="8">
        <v>123.7</v>
      </c>
      <c r="S29" s="8">
        <v>111.5</v>
      </c>
      <c r="T29" s="8">
        <v>106.82</v>
      </c>
      <c r="U29" s="8">
        <v>113</v>
      </c>
    </row>
    <row r="30" spans="1:21" ht="12.75">
      <c r="A30" s="1">
        <f t="shared" si="0"/>
        <v>24</v>
      </c>
      <c r="B30" s="4" t="s">
        <v>799</v>
      </c>
      <c r="C30" s="8">
        <v>266.7</v>
      </c>
      <c r="D30" s="8">
        <v>250.2</v>
      </c>
      <c r="E30" s="8">
        <v>218</v>
      </c>
      <c r="F30" s="8">
        <v>174.31</v>
      </c>
      <c r="G30" s="8">
        <v>169.63</v>
      </c>
      <c r="H30" s="8">
        <v>145.56</v>
      </c>
      <c r="I30" s="8">
        <v>140.88</v>
      </c>
      <c r="J30" s="8">
        <v>225</v>
      </c>
      <c r="K30" s="8">
        <v>200.85</v>
      </c>
      <c r="L30" s="8">
        <v>196.17</v>
      </c>
      <c r="M30" s="8">
        <v>233.5</v>
      </c>
      <c r="N30" s="8">
        <v>163.4</v>
      </c>
      <c r="O30" s="8">
        <v>203.1</v>
      </c>
      <c r="P30" s="8">
        <v>146.05</v>
      </c>
      <c r="Q30" s="8">
        <v>128.38</v>
      </c>
      <c r="R30" s="8">
        <v>123.7</v>
      </c>
      <c r="S30" s="8">
        <v>111.5</v>
      </c>
      <c r="T30" s="8">
        <v>106.82</v>
      </c>
      <c r="U30" s="8">
        <v>113</v>
      </c>
    </row>
    <row r="31" spans="1:21" ht="12.75">
      <c r="A31" s="1">
        <f t="shared" si="0"/>
        <v>25</v>
      </c>
      <c r="B31" s="4" t="s">
        <v>800</v>
      </c>
      <c r="C31" s="8">
        <v>268.7</v>
      </c>
      <c r="D31" s="8">
        <v>252.2</v>
      </c>
      <c r="E31" s="8">
        <v>218</v>
      </c>
      <c r="F31" s="8">
        <v>174.31</v>
      </c>
      <c r="G31" s="8">
        <v>169.63</v>
      </c>
      <c r="H31" s="8">
        <v>145.56</v>
      </c>
      <c r="I31" s="8">
        <v>140.88</v>
      </c>
      <c r="J31" s="8">
        <v>225</v>
      </c>
      <c r="K31" s="8">
        <v>200.85</v>
      </c>
      <c r="L31" s="8">
        <v>196.17</v>
      </c>
      <c r="M31" s="8">
        <v>233.5</v>
      </c>
      <c r="N31" s="8">
        <v>163.4</v>
      </c>
      <c r="O31" s="8">
        <v>203.1</v>
      </c>
      <c r="P31" s="8">
        <v>146.05</v>
      </c>
      <c r="Q31" s="8">
        <v>128.38</v>
      </c>
      <c r="R31" s="8">
        <v>123.7</v>
      </c>
      <c r="S31" s="8">
        <v>111.5</v>
      </c>
      <c r="T31" s="8">
        <v>106.82</v>
      </c>
      <c r="U31" s="8">
        <v>113</v>
      </c>
    </row>
    <row r="32" spans="1:21" ht="12.75">
      <c r="A32" s="1">
        <f t="shared" si="0"/>
        <v>26</v>
      </c>
      <c r="B32" s="4" t="s">
        <v>801</v>
      </c>
      <c r="C32" s="8">
        <v>271.6</v>
      </c>
      <c r="D32" s="8">
        <v>255.4</v>
      </c>
      <c r="E32" s="8">
        <v>219.8</v>
      </c>
      <c r="F32" s="8">
        <v>176.33</v>
      </c>
      <c r="G32" s="8">
        <v>171.65</v>
      </c>
      <c r="H32" s="8">
        <v>147.3</v>
      </c>
      <c r="I32" s="8">
        <v>142.62</v>
      </c>
      <c r="J32" s="8">
        <v>226.8</v>
      </c>
      <c r="K32" s="8">
        <v>202.87</v>
      </c>
      <c r="L32" s="8">
        <v>196.19</v>
      </c>
      <c r="M32" s="8">
        <v>234.5</v>
      </c>
      <c r="N32" s="8">
        <v>163.4</v>
      </c>
      <c r="O32" s="8">
        <v>203.1</v>
      </c>
      <c r="P32" s="8">
        <v>147.46</v>
      </c>
      <c r="Q32" s="8">
        <v>128.76</v>
      </c>
      <c r="R32" s="8">
        <v>124.08</v>
      </c>
      <c r="S32" s="8">
        <v>111.83</v>
      </c>
      <c r="T32" s="8">
        <v>107.15</v>
      </c>
      <c r="U32" s="8">
        <v>113</v>
      </c>
    </row>
    <row r="33" spans="1:21" ht="12.75">
      <c r="A33" s="1">
        <f t="shared" si="0"/>
        <v>27</v>
      </c>
      <c r="B33" s="4" t="s">
        <v>802</v>
      </c>
      <c r="C33" s="8">
        <v>271.6</v>
      </c>
      <c r="D33" s="8">
        <v>255.4</v>
      </c>
      <c r="E33" s="8">
        <v>219.8</v>
      </c>
      <c r="F33" s="8">
        <v>176.33</v>
      </c>
      <c r="G33" s="8">
        <v>171.65</v>
      </c>
      <c r="H33" s="8">
        <v>147.3</v>
      </c>
      <c r="I33" s="8">
        <v>142.62</v>
      </c>
      <c r="J33" s="8">
        <v>226.8</v>
      </c>
      <c r="K33" s="8">
        <v>202.87</v>
      </c>
      <c r="L33" s="8">
        <v>198.19</v>
      </c>
      <c r="M33" s="8">
        <v>234.5</v>
      </c>
      <c r="N33" s="8">
        <v>163.4</v>
      </c>
      <c r="O33" s="8">
        <v>203.1</v>
      </c>
      <c r="P33" s="8">
        <v>147.46</v>
      </c>
      <c r="Q33" s="8">
        <v>128.76</v>
      </c>
      <c r="R33" s="8">
        <v>124.08</v>
      </c>
      <c r="S33" s="8">
        <v>111.83</v>
      </c>
      <c r="T33" s="8">
        <v>107.15</v>
      </c>
      <c r="U33" s="8">
        <v>113</v>
      </c>
    </row>
    <row r="34" spans="1:21" ht="12.75">
      <c r="A34" s="1">
        <f t="shared" si="0"/>
        <v>28</v>
      </c>
      <c r="B34" s="4" t="s">
        <v>803</v>
      </c>
      <c r="C34" s="8">
        <v>271.6</v>
      </c>
      <c r="D34" s="8">
        <v>255.4</v>
      </c>
      <c r="E34" s="8">
        <v>219.8</v>
      </c>
      <c r="F34" s="8">
        <v>176.33</v>
      </c>
      <c r="G34" s="8">
        <v>171.65</v>
      </c>
      <c r="H34" s="8">
        <v>147.3</v>
      </c>
      <c r="I34" s="8">
        <v>142.62</v>
      </c>
      <c r="J34" s="8">
        <v>226.8</v>
      </c>
      <c r="K34" s="8">
        <v>202.87</v>
      </c>
      <c r="L34" s="8">
        <v>196.19</v>
      </c>
      <c r="M34" s="8">
        <v>234.5</v>
      </c>
      <c r="N34" s="8">
        <v>163.4</v>
      </c>
      <c r="O34" s="8">
        <v>203.1</v>
      </c>
      <c r="P34" s="8">
        <v>147.46</v>
      </c>
      <c r="Q34" s="8">
        <v>128.76</v>
      </c>
      <c r="R34" s="8">
        <v>124.08</v>
      </c>
      <c r="S34" s="8">
        <v>111.83</v>
      </c>
      <c r="T34" s="8">
        <v>107.15</v>
      </c>
      <c r="U34" s="8">
        <v>113</v>
      </c>
    </row>
    <row r="35" spans="1:21" ht="12.75">
      <c r="A35" s="1">
        <f t="shared" si="0"/>
        <v>29</v>
      </c>
      <c r="B35" s="4" t="s">
        <v>804</v>
      </c>
      <c r="C35" s="8">
        <v>271.6</v>
      </c>
      <c r="D35" s="8">
        <v>255.4</v>
      </c>
      <c r="E35" s="8">
        <v>219.8</v>
      </c>
      <c r="F35" s="8">
        <v>176.33</v>
      </c>
      <c r="G35" s="8">
        <v>171.65</v>
      </c>
      <c r="H35" s="8">
        <v>147.3</v>
      </c>
      <c r="I35" s="8">
        <v>142.62</v>
      </c>
      <c r="J35" s="8">
        <v>226.8</v>
      </c>
      <c r="K35" s="8">
        <v>202.87</v>
      </c>
      <c r="L35" s="8">
        <v>198.19</v>
      </c>
      <c r="M35" s="8">
        <v>234.5</v>
      </c>
      <c r="N35" s="8">
        <v>163.4</v>
      </c>
      <c r="O35" s="8">
        <v>203.1</v>
      </c>
      <c r="P35" s="8">
        <v>147.46</v>
      </c>
      <c r="Q35" s="8">
        <v>128.76</v>
      </c>
      <c r="R35" s="8">
        <v>124.08</v>
      </c>
      <c r="S35" s="8">
        <v>111.83</v>
      </c>
      <c r="T35" s="8">
        <v>107.15</v>
      </c>
      <c r="U35" s="8">
        <v>113</v>
      </c>
    </row>
    <row r="36" spans="1:21" ht="12.75">
      <c r="A36" s="1">
        <f t="shared" si="0"/>
        <v>30</v>
      </c>
      <c r="B36" s="4" t="s">
        <v>805</v>
      </c>
      <c r="C36" s="8">
        <v>270.6</v>
      </c>
      <c r="D36" s="8">
        <v>254.4</v>
      </c>
      <c r="E36" s="8">
        <v>217.2</v>
      </c>
      <c r="F36" s="8">
        <v>173.02</v>
      </c>
      <c r="G36" s="8">
        <v>168.34</v>
      </c>
      <c r="H36" s="8">
        <v>144.45</v>
      </c>
      <c r="I36" s="8">
        <v>139.77</v>
      </c>
      <c r="J36" s="8">
        <v>224.2</v>
      </c>
      <c r="K36" s="8">
        <v>199.56</v>
      </c>
      <c r="L36" s="8">
        <v>194.88</v>
      </c>
      <c r="M36" s="8">
        <v>232.3</v>
      </c>
      <c r="N36" s="8">
        <v>159.5</v>
      </c>
      <c r="O36" s="8">
        <v>199.3</v>
      </c>
      <c r="P36" s="8">
        <v>144.25</v>
      </c>
      <c r="Q36" s="8">
        <v>125.56</v>
      </c>
      <c r="R36" s="8">
        <v>120.88</v>
      </c>
      <c r="S36" s="8">
        <v>109.07</v>
      </c>
      <c r="T36" s="8">
        <v>104.39</v>
      </c>
      <c r="U36" s="8">
        <v>112</v>
      </c>
    </row>
    <row r="37" spans="1:21" ht="12.75">
      <c r="A37" s="1">
        <f t="shared" si="0"/>
        <v>31</v>
      </c>
      <c r="B37" s="4" t="s">
        <v>806</v>
      </c>
      <c r="C37" s="8">
        <v>270.6</v>
      </c>
      <c r="D37" s="8">
        <v>254.4</v>
      </c>
      <c r="E37" s="8">
        <v>217.2</v>
      </c>
      <c r="F37" s="8">
        <v>173.02</v>
      </c>
      <c r="G37" s="8">
        <v>168.34</v>
      </c>
      <c r="H37" s="8">
        <v>144.45</v>
      </c>
      <c r="I37" s="8">
        <v>139.77</v>
      </c>
      <c r="J37" s="8">
        <v>224.2</v>
      </c>
      <c r="K37" s="8">
        <v>199.56</v>
      </c>
      <c r="L37" s="8">
        <v>194.88</v>
      </c>
      <c r="M37" s="8">
        <v>232.3</v>
      </c>
      <c r="N37" s="8">
        <v>159.5</v>
      </c>
      <c r="O37" s="8">
        <v>199.3</v>
      </c>
      <c r="P37" s="8">
        <v>144.25</v>
      </c>
      <c r="Q37" s="8">
        <v>125.56</v>
      </c>
      <c r="R37" s="8">
        <v>120.88</v>
      </c>
      <c r="S37" s="8">
        <v>109.07</v>
      </c>
      <c r="T37" s="8">
        <v>104.39</v>
      </c>
      <c r="U37" s="8">
        <v>112</v>
      </c>
    </row>
    <row r="38" spans="1:21" ht="12.75">
      <c r="A38" s="1">
        <f t="shared" si="0"/>
        <v>32</v>
      </c>
      <c r="B38" s="4" t="s">
        <v>807</v>
      </c>
      <c r="C38" s="8">
        <v>270.6</v>
      </c>
      <c r="D38" s="8">
        <v>254.4</v>
      </c>
      <c r="E38" s="8">
        <v>217.2</v>
      </c>
      <c r="F38" s="8">
        <v>173.02</v>
      </c>
      <c r="G38" s="8">
        <v>168.34</v>
      </c>
      <c r="H38" s="8">
        <v>144.45</v>
      </c>
      <c r="I38" s="8">
        <v>139.77</v>
      </c>
      <c r="J38" s="8">
        <v>224.2</v>
      </c>
      <c r="K38" s="8">
        <v>199.56</v>
      </c>
      <c r="L38" s="8">
        <v>194.88</v>
      </c>
      <c r="M38" s="8">
        <v>232.3</v>
      </c>
      <c r="N38" s="8">
        <v>159.5</v>
      </c>
      <c r="O38" s="8">
        <v>199.3</v>
      </c>
      <c r="P38" s="8">
        <v>144.25</v>
      </c>
      <c r="Q38" s="8">
        <v>125.56</v>
      </c>
      <c r="R38" s="8">
        <v>120.88</v>
      </c>
      <c r="S38" s="8">
        <v>109.07</v>
      </c>
      <c r="T38" s="8">
        <v>104.39</v>
      </c>
      <c r="U38" s="8">
        <v>112</v>
      </c>
    </row>
    <row r="39" spans="1:21" ht="12.75">
      <c r="A39" s="1">
        <f t="shared" si="0"/>
        <v>33</v>
      </c>
      <c r="B39" s="4" t="s">
        <v>808</v>
      </c>
      <c r="C39" s="8">
        <v>272.9</v>
      </c>
      <c r="D39" s="8">
        <v>251.5</v>
      </c>
      <c r="E39" s="8">
        <v>216.2</v>
      </c>
      <c r="F39" s="8">
        <v>171.86</v>
      </c>
      <c r="G39" s="8">
        <v>167.18</v>
      </c>
      <c r="H39" s="8">
        <v>143.45</v>
      </c>
      <c r="I39" s="8">
        <v>138.77</v>
      </c>
      <c r="J39" s="8">
        <v>223.2</v>
      </c>
      <c r="K39" s="8">
        <v>198.4</v>
      </c>
      <c r="L39" s="8">
        <v>193.72</v>
      </c>
      <c r="M39" s="8">
        <v>231.3</v>
      </c>
      <c r="N39" s="8">
        <v>158.2</v>
      </c>
      <c r="O39" s="8">
        <v>198.1</v>
      </c>
      <c r="P39" s="8">
        <v>142.45</v>
      </c>
      <c r="Q39" s="8">
        <v>123.71</v>
      </c>
      <c r="R39" s="8">
        <v>119.03</v>
      </c>
      <c r="S39" s="8">
        <v>107.48</v>
      </c>
      <c r="T39" s="8">
        <v>102.8</v>
      </c>
      <c r="U39" s="8">
        <v>111</v>
      </c>
    </row>
    <row r="40" spans="1:21" ht="12.75">
      <c r="A40" s="1">
        <f t="shared" si="0"/>
        <v>34</v>
      </c>
      <c r="B40" s="4" t="s">
        <v>809</v>
      </c>
      <c r="C40" s="8">
        <v>267.9</v>
      </c>
      <c r="D40" s="8">
        <v>251.5</v>
      </c>
      <c r="E40" s="8">
        <v>216.2</v>
      </c>
      <c r="F40" s="8">
        <v>171.86</v>
      </c>
      <c r="G40" s="8">
        <v>167.18</v>
      </c>
      <c r="H40" s="8">
        <v>143.45</v>
      </c>
      <c r="I40" s="8">
        <v>138.77</v>
      </c>
      <c r="J40" s="8">
        <v>223.2</v>
      </c>
      <c r="K40" s="8">
        <v>198.4</v>
      </c>
      <c r="L40" s="8">
        <v>193.72</v>
      </c>
      <c r="M40" s="8">
        <v>231.3</v>
      </c>
      <c r="N40" s="8">
        <v>158.2</v>
      </c>
      <c r="O40" s="8">
        <v>198.1</v>
      </c>
      <c r="P40" s="8">
        <v>142.45</v>
      </c>
      <c r="Q40" s="8">
        <v>123.71</v>
      </c>
      <c r="R40" s="8">
        <v>119.03</v>
      </c>
      <c r="S40" s="8">
        <v>107.48</v>
      </c>
      <c r="T40" s="8">
        <v>102.8</v>
      </c>
      <c r="U40" s="8">
        <v>111</v>
      </c>
    </row>
    <row r="41" spans="1:21" ht="12.75">
      <c r="A41" s="1">
        <f t="shared" si="0"/>
        <v>35</v>
      </c>
      <c r="B41" s="4" t="s">
        <v>810</v>
      </c>
      <c r="C41" s="8">
        <v>266.9</v>
      </c>
      <c r="D41" s="8">
        <v>250.5</v>
      </c>
      <c r="E41" s="8">
        <v>214.2</v>
      </c>
      <c r="F41" s="8">
        <v>170.19</v>
      </c>
      <c r="G41" s="8">
        <v>165.51</v>
      </c>
      <c r="H41" s="8">
        <v>142.01</v>
      </c>
      <c r="I41" s="8">
        <v>137.33</v>
      </c>
      <c r="J41" s="8">
        <v>221.2</v>
      </c>
      <c r="K41" s="8">
        <v>196.73</v>
      </c>
      <c r="L41" s="8">
        <v>192.05</v>
      </c>
      <c r="M41" s="8">
        <v>230.3</v>
      </c>
      <c r="N41" s="8">
        <v>156.7</v>
      </c>
      <c r="O41" s="8">
        <v>197.1</v>
      </c>
      <c r="P41" s="8">
        <v>140.93</v>
      </c>
      <c r="Q41" s="8">
        <v>122.22</v>
      </c>
      <c r="R41" s="8">
        <v>117.54</v>
      </c>
      <c r="S41" s="8">
        <v>106.19</v>
      </c>
      <c r="T41" s="8">
        <v>101.51</v>
      </c>
      <c r="U41" s="8">
        <v>110</v>
      </c>
    </row>
    <row r="42" spans="1:21" ht="12.75" outlineLevel="1">
      <c r="A42" s="1">
        <f t="shared" si="0"/>
        <v>36</v>
      </c>
      <c r="B42" s="4" t="s">
        <v>811</v>
      </c>
      <c r="C42" s="8">
        <v>266.9</v>
      </c>
      <c r="D42" s="8">
        <v>250.5</v>
      </c>
      <c r="E42" s="8">
        <v>214.2</v>
      </c>
      <c r="F42" s="8">
        <v>170.19</v>
      </c>
      <c r="G42" s="8">
        <v>165.51</v>
      </c>
      <c r="H42" s="8">
        <v>142.01</v>
      </c>
      <c r="I42" s="8">
        <v>137.33</v>
      </c>
      <c r="J42" s="8">
        <v>221.2</v>
      </c>
      <c r="K42" s="8">
        <v>196.73</v>
      </c>
      <c r="L42" s="8">
        <v>192.05</v>
      </c>
      <c r="M42" s="8">
        <v>230.3</v>
      </c>
      <c r="N42" s="8">
        <v>156.7</v>
      </c>
      <c r="O42" s="8">
        <v>197.1</v>
      </c>
      <c r="P42" s="8">
        <v>140.93</v>
      </c>
      <c r="Q42" s="8">
        <v>122.22</v>
      </c>
      <c r="R42" s="8">
        <v>117.54</v>
      </c>
      <c r="S42" s="8">
        <v>106.19</v>
      </c>
      <c r="T42" s="8">
        <v>101.51</v>
      </c>
      <c r="U42" s="8">
        <v>110</v>
      </c>
    </row>
    <row r="43" spans="1:21" ht="12.75" outlineLevel="1">
      <c r="A43" s="1">
        <f t="shared" si="0"/>
        <v>37</v>
      </c>
      <c r="B43" s="4" t="s">
        <v>812</v>
      </c>
      <c r="C43" s="8">
        <v>266.9</v>
      </c>
      <c r="D43" s="8">
        <v>250.5</v>
      </c>
      <c r="E43" s="8">
        <v>214.2</v>
      </c>
      <c r="F43" s="8">
        <v>170.19</v>
      </c>
      <c r="G43" s="8">
        <v>165.51</v>
      </c>
      <c r="H43" s="8">
        <v>142.01</v>
      </c>
      <c r="I43" s="8">
        <v>137.33</v>
      </c>
      <c r="J43" s="8">
        <v>221.2</v>
      </c>
      <c r="K43" s="8">
        <v>196.73</v>
      </c>
      <c r="L43" s="8">
        <v>192.05</v>
      </c>
      <c r="M43" s="8">
        <v>230.3</v>
      </c>
      <c r="N43" s="8">
        <v>156.7</v>
      </c>
      <c r="O43" s="8">
        <v>197.1</v>
      </c>
      <c r="P43" s="8">
        <v>140.93</v>
      </c>
      <c r="Q43" s="8">
        <v>122.22</v>
      </c>
      <c r="R43" s="8">
        <v>117.54</v>
      </c>
      <c r="S43" s="8">
        <v>106.19</v>
      </c>
      <c r="T43" s="8">
        <v>101.51</v>
      </c>
      <c r="U43" s="8">
        <v>110</v>
      </c>
    </row>
    <row r="44" spans="1:21" ht="12.75" outlineLevel="1">
      <c r="A44" s="1">
        <f t="shared" si="0"/>
        <v>38</v>
      </c>
      <c r="B44" s="4" t="s">
        <v>813</v>
      </c>
      <c r="C44" s="8">
        <v>263.2</v>
      </c>
      <c r="D44" s="8">
        <v>247.5</v>
      </c>
      <c r="E44" s="8">
        <v>212.2</v>
      </c>
      <c r="F44" s="8">
        <v>167.92</v>
      </c>
      <c r="G44" s="8">
        <v>163.24</v>
      </c>
      <c r="H44" s="8">
        <v>140.05</v>
      </c>
      <c r="I44" s="8">
        <v>135.37</v>
      </c>
      <c r="J44" s="8">
        <v>219.2</v>
      </c>
      <c r="K44" s="8">
        <v>194.46</v>
      </c>
      <c r="L44" s="8">
        <v>189.78</v>
      </c>
      <c r="M44" s="8">
        <v>228.3</v>
      </c>
      <c r="N44" s="8">
        <v>155.3</v>
      </c>
      <c r="O44" s="8">
        <v>195.6</v>
      </c>
      <c r="P44" s="8">
        <v>140.04</v>
      </c>
      <c r="Q44" s="8">
        <v>121.36</v>
      </c>
      <c r="R44" s="8">
        <v>116.68</v>
      </c>
      <c r="S44" s="8">
        <v>105.45</v>
      </c>
      <c r="T44" s="8">
        <v>100.77</v>
      </c>
      <c r="U44" s="8">
        <v>110</v>
      </c>
    </row>
    <row r="45" spans="1:21" ht="12.75" outlineLevel="1">
      <c r="A45" s="1">
        <f t="shared" si="0"/>
        <v>39</v>
      </c>
      <c r="B45" s="4" t="s">
        <v>814</v>
      </c>
      <c r="C45" s="8">
        <v>260.1</v>
      </c>
      <c r="D45" s="8">
        <v>244.6</v>
      </c>
      <c r="E45" s="8">
        <v>210</v>
      </c>
      <c r="F45" s="8">
        <v>165.59</v>
      </c>
      <c r="G45" s="8">
        <v>160.91</v>
      </c>
      <c r="H45" s="8">
        <v>138.04</v>
      </c>
      <c r="I45" s="8">
        <v>133.36</v>
      </c>
      <c r="J45" s="8">
        <v>217</v>
      </c>
      <c r="K45" s="8">
        <v>192.13</v>
      </c>
      <c r="L45" s="8">
        <v>187.45</v>
      </c>
      <c r="M45" s="8">
        <v>226.7</v>
      </c>
      <c r="N45" s="8">
        <v>153.8</v>
      </c>
      <c r="O45" s="8">
        <v>193.8</v>
      </c>
      <c r="P45" s="8">
        <v>138.71</v>
      </c>
      <c r="Q45" s="8">
        <v>120.02</v>
      </c>
      <c r="R45" s="8">
        <v>115.34</v>
      </c>
      <c r="S45" s="8">
        <v>104.3</v>
      </c>
      <c r="T45" s="8">
        <v>99.62</v>
      </c>
      <c r="U45" s="8">
        <v>110</v>
      </c>
    </row>
    <row r="46" spans="1:21" ht="12.75" outlineLevel="1">
      <c r="A46" s="1">
        <f t="shared" si="0"/>
        <v>40</v>
      </c>
      <c r="B46" s="4" t="s">
        <v>815</v>
      </c>
      <c r="C46" s="8">
        <v>259.1</v>
      </c>
      <c r="D46" s="8">
        <v>243.6</v>
      </c>
      <c r="E46" s="8">
        <v>207.8</v>
      </c>
      <c r="F46" s="8">
        <v>163.39</v>
      </c>
      <c r="G46" s="8">
        <v>158.71</v>
      </c>
      <c r="H46" s="8">
        <v>136.14</v>
      </c>
      <c r="I46" s="8">
        <v>131.46</v>
      </c>
      <c r="J46" s="8">
        <v>214.8</v>
      </c>
      <c r="K46" s="8">
        <v>189.93</v>
      </c>
      <c r="L46" s="8">
        <v>185.25</v>
      </c>
      <c r="M46" s="8">
        <v>224.5</v>
      </c>
      <c r="N46" s="8">
        <v>151.9</v>
      </c>
      <c r="O46" s="8">
        <v>191.3</v>
      </c>
      <c r="P46" s="8">
        <v>137.71</v>
      </c>
      <c r="Q46" s="8">
        <v>119.01</v>
      </c>
      <c r="R46" s="8">
        <v>114.33</v>
      </c>
      <c r="S46" s="8">
        <v>103.43</v>
      </c>
      <c r="T46" s="8" t="s">
        <v>816</v>
      </c>
      <c r="U46" s="8">
        <v>111.4</v>
      </c>
    </row>
    <row r="47" spans="1:21" ht="12.75" outlineLevel="1">
      <c r="A47" s="1">
        <f t="shared" si="0"/>
        <v>41</v>
      </c>
      <c r="B47" s="4" t="s">
        <v>817</v>
      </c>
      <c r="C47" s="8">
        <v>259.1</v>
      </c>
      <c r="D47" s="8">
        <v>243.6</v>
      </c>
      <c r="E47" s="8">
        <v>207.8</v>
      </c>
      <c r="F47" s="8">
        <v>163.39</v>
      </c>
      <c r="G47" s="8">
        <v>158.71</v>
      </c>
      <c r="H47" s="8">
        <v>136.14</v>
      </c>
      <c r="I47" s="8">
        <v>131.46</v>
      </c>
      <c r="J47" s="8">
        <v>214.8</v>
      </c>
      <c r="K47" s="8">
        <v>189.93</v>
      </c>
      <c r="L47" s="8">
        <v>185.25</v>
      </c>
      <c r="M47" s="8">
        <v>224.5</v>
      </c>
      <c r="N47" s="8">
        <v>151.9</v>
      </c>
      <c r="O47" s="8">
        <v>191.3</v>
      </c>
      <c r="P47" s="8">
        <v>137.71</v>
      </c>
      <c r="Q47" s="8">
        <v>119.01</v>
      </c>
      <c r="R47" s="8">
        <v>114.33</v>
      </c>
      <c r="S47" s="8">
        <v>103.43</v>
      </c>
      <c r="T47" s="8">
        <v>98.75</v>
      </c>
      <c r="U47" s="8">
        <v>111.4</v>
      </c>
    </row>
    <row r="48" spans="1:21" ht="12.75" outlineLevel="1">
      <c r="A48" s="1">
        <f t="shared" si="0"/>
        <v>42</v>
      </c>
      <c r="B48" s="4" t="s">
        <v>818</v>
      </c>
      <c r="C48" s="8">
        <v>254.2</v>
      </c>
      <c r="D48" s="8">
        <v>239.5</v>
      </c>
      <c r="E48" s="8">
        <v>205.8</v>
      </c>
      <c r="F48" s="8">
        <v>161.42</v>
      </c>
      <c r="G48" s="8">
        <v>156.74</v>
      </c>
      <c r="H48" s="8">
        <v>134.45</v>
      </c>
      <c r="I48" s="8">
        <v>129.77</v>
      </c>
      <c r="J48" s="8">
        <v>212.8</v>
      </c>
      <c r="K48" s="8">
        <v>187.96</v>
      </c>
      <c r="L48" s="8">
        <v>183.28</v>
      </c>
      <c r="M48" s="8">
        <v>222.6</v>
      </c>
      <c r="N48" s="8">
        <v>149.6</v>
      </c>
      <c r="O48" s="8">
        <v>188.6</v>
      </c>
      <c r="P48" s="8">
        <v>135.31</v>
      </c>
      <c r="Q48" s="8">
        <v>116.61</v>
      </c>
      <c r="R48" s="8">
        <v>111.93</v>
      </c>
      <c r="S48" s="8">
        <v>101.36</v>
      </c>
      <c r="T48" s="8">
        <v>96.68</v>
      </c>
      <c r="U48" s="8">
        <v>111.4</v>
      </c>
    </row>
    <row r="49" spans="1:21" ht="12.75" outlineLevel="1">
      <c r="A49" s="1">
        <f t="shared" si="0"/>
        <v>43</v>
      </c>
      <c r="B49" s="4" t="s">
        <v>819</v>
      </c>
      <c r="C49" s="8">
        <v>240</v>
      </c>
      <c r="D49" s="8">
        <v>226.2</v>
      </c>
      <c r="E49" s="8">
        <v>200.1</v>
      </c>
      <c r="F49" s="8">
        <v>156.12</v>
      </c>
      <c r="G49" s="8">
        <v>151.44</v>
      </c>
      <c r="H49" s="8">
        <v>129.88</v>
      </c>
      <c r="I49" s="8">
        <v>125.2</v>
      </c>
      <c r="J49" s="8">
        <v>207.1</v>
      </c>
      <c r="K49" s="8">
        <v>182.66</v>
      </c>
      <c r="L49" s="8">
        <v>177.98</v>
      </c>
      <c r="M49" s="8">
        <v>216.9</v>
      </c>
      <c r="N49" s="8">
        <v>143.9</v>
      </c>
      <c r="O49" s="8">
        <v>181.8</v>
      </c>
      <c r="P49" s="8">
        <v>127.61</v>
      </c>
      <c r="Q49" s="8">
        <v>108.91</v>
      </c>
      <c r="R49" s="8">
        <v>104.23</v>
      </c>
      <c r="S49" s="8">
        <v>94.72</v>
      </c>
      <c r="T49" s="8">
        <v>90.04</v>
      </c>
      <c r="U49" s="8">
        <v>108.8</v>
      </c>
    </row>
    <row r="50" spans="1:21" ht="12.75" outlineLevel="1">
      <c r="A50" s="1">
        <f t="shared" si="0"/>
        <v>44</v>
      </c>
      <c r="B50" s="4" t="s">
        <v>820</v>
      </c>
      <c r="C50" s="8">
        <v>235.3</v>
      </c>
      <c r="D50" s="8">
        <v>221.8</v>
      </c>
      <c r="E50" s="8">
        <v>196.4</v>
      </c>
      <c r="F50" s="8">
        <v>152.92</v>
      </c>
      <c r="G50" s="8">
        <v>148.24</v>
      </c>
      <c r="H50" s="8">
        <v>127.12</v>
      </c>
      <c r="I50" s="8">
        <v>122.44</v>
      </c>
      <c r="J50" s="8">
        <v>203.4</v>
      </c>
      <c r="K50" s="8">
        <v>179.46</v>
      </c>
      <c r="L50" s="8">
        <v>174.78</v>
      </c>
      <c r="M50" s="8">
        <v>214.2</v>
      </c>
      <c r="N50" s="8">
        <v>141</v>
      </c>
      <c r="O50" s="8">
        <v>178.2</v>
      </c>
      <c r="P50" s="8">
        <v>123.61</v>
      </c>
      <c r="Q50" s="8">
        <v>104.91</v>
      </c>
      <c r="R50" s="8">
        <v>100.23</v>
      </c>
      <c r="S50" s="8">
        <v>91.27</v>
      </c>
      <c r="T50" s="8">
        <v>86.59</v>
      </c>
      <c r="U50" s="8">
        <v>107.6</v>
      </c>
    </row>
    <row r="51" spans="1:21" ht="12.75" outlineLevel="1">
      <c r="A51" s="1">
        <f t="shared" si="0"/>
        <v>45</v>
      </c>
      <c r="B51" s="4" t="s">
        <v>821</v>
      </c>
      <c r="C51" s="8">
        <v>233.1</v>
      </c>
      <c r="D51" s="8">
        <v>219.6</v>
      </c>
      <c r="E51" s="8">
        <v>194.6</v>
      </c>
      <c r="F51" s="8">
        <v>151.42</v>
      </c>
      <c r="G51" s="8">
        <v>146.74</v>
      </c>
      <c r="H51" s="8">
        <v>125.24</v>
      </c>
      <c r="I51" s="8">
        <v>120.56</v>
      </c>
      <c r="J51" s="8">
        <v>201.6</v>
      </c>
      <c r="K51" s="8">
        <v>178.12</v>
      </c>
      <c r="L51" s="8">
        <v>173.44</v>
      </c>
      <c r="M51" s="8">
        <v>212.8</v>
      </c>
      <c r="N51" s="8">
        <v>139.6</v>
      </c>
      <c r="O51" s="8">
        <v>176.6</v>
      </c>
      <c r="P51" s="8">
        <v>122.01</v>
      </c>
      <c r="Q51" s="8">
        <v>103.05</v>
      </c>
      <c r="R51" s="8">
        <v>98.37</v>
      </c>
      <c r="S51" s="8">
        <v>89.67</v>
      </c>
      <c r="T51" s="8">
        <v>84.99</v>
      </c>
      <c r="U51" s="8">
        <v>106.6</v>
      </c>
    </row>
    <row r="52" spans="1:21" ht="12.75" outlineLevel="1">
      <c r="A52" s="1">
        <f t="shared" si="0"/>
        <v>46</v>
      </c>
      <c r="B52" s="4" t="s">
        <v>822</v>
      </c>
      <c r="C52" s="8">
        <v>233.1</v>
      </c>
      <c r="D52" s="8">
        <v>219.6</v>
      </c>
      <c r="E52" s="8">
        <v>194.6</v>
      </c>
      <c r="F52" s="8">
        <v>151.42</v>
      </c>
      <c r="G52" s="8">
        <v>146.74</v>
      </c>
      <c r="H52" s="8">
        <v>125.24</v>
      </c>
      <c r="I52" s="8">
        <v>120.56</v>
      </c>
      <c r="J52" s="8">
        <v>201.6</v>
      </c>
      <c r="K52" s="8">
        <v>178.12</v>
      </c>
      <c r="L52" s="8">
        <v>173.44</v>
      </c>
      <c r="M52" s="8">
        <v>212.8</v>
      </c>
      <c r="N52" s="8">
        <v>139.6</v>
      </c>
      <c r="O52" s="8">
        <v>176.6</v>
      </c>
      <c r="P52" s="8">
        <v>122.01</v>
      </c>
      <c r="Q52" s="8">
        <v>103.05</v>
      </c>
      <c r="R52" s="8">
        <v>98.37</v>
      </c>
      <c r="S52" s="8">
        <v>86.67</v>
      </c>
      <c r="T52" s="8">
        <v>84.99</v>
      </c>
      <c r="U52" s="8">
        <v>106.6</v>
      </c>
    </row>
    <row r="53" spans="1:21" ht="12.75" outlineLevel="1">
      <c r="A53" s="1">
        <f t="shared" si="0"/>
        <v>47</v>
      </c>
      <c r="B53" s="4" t="s">
        <v>823</v>
      </c>
      <c r="C53" s="8">
        <v>232.1</v>
      </c>
      <c r="D53" s="8">
        <v>218.4</v>
      </c>
      <c r="E53" s="8">
        <v>192.6</v>
      </c>
      <c r="F53" s="8">
        <v>149.67</v>
      </c>
      <c r="G53" s="8">
        <v>144.99</v>
      </c>
      <c r="H53" s="8">
        <v>123.73</v>
      </c>
      <c r="I53" s="8">
        <v>119.05</v>
      </c>
      <c r="J53" s="8">
        <v>199.6</v>
      </c>
      <c r="K53" s="8">
        <v>176.37</v>
      </c>
      <c r="L53" s="8">
        <v>171.69</v>
      </c>
      <c r="M53" s="8">
        <v>211.8</v>
      </c>
      <c r="N53" s="8">
        <v>138.6</v>
      </c>
      <c r="O53" s="8">
        <v>175.6</v>
      </c>
      <c r="P53" s="8">
        <v>120.01</v>
      </c>
      <c r="Q53" s="8">
        <v>100.74</v>
      </c>
      <c r="R53" s="8">
        <v>96.06</v>
      </c>
      <c r="S53" s="8">
        <v>87.68</v>
      </c>
      <c r="T53" s="8">
        <v>83</v>
      </c>
      <c r="U53" s="8">
        <v>104.6</v>
      </c>
    </row>
    <row r="54" spans="1:21" ht="12.75" outlineLevel="1">
      <c r="A54" s="1">
        <f t="shared" si="0"/>
        <v>48</v>
      </c>
      <c r="B54" s="4" t="s">
        <v>824</v>
      </c>
      <c r="C54" s="8">
        <v>229</v>
      </c>
      <c r="D54" s="8">
        <v>212.3</v>
      </c>
      <c r="E54" s="8">
        <v>184.1</v>
      </c>
      <c r="F54" s="8">
        <v>141.82</v>
      </c>
      <c r="G54" s="8">
        <v>137.14</v>
      </c>
      <c r="H54" s="8">
        <v>116.96</v>
      </c>
      <c r="I54" s="8">
        <v>112.28</v>
      </c>
      <c r="J54" s="8">
        <v>191.4</v>
      </c>
      <c r="K54" s="8">
        <v>168.52</v>
      </c>
      <c r="L54" s="8">
        <v>163.84</v>
      </c>
      <c r="M54" s="8">
        <v>202.2</v>
      </c>
      <c r="N54" s="8">
        <v>134.8</v>
      </c>
      <c r="O54" s="8">
        <v>171.4</v>
      </c>
      <c r="P54" s="8">
        <v>114.31</v>
      </c>
      <c r="Q54" s="8">
        <v>95.09</v>
      </c>
      <c r="R54" s="8">
        <v>90.41</v>
      </c>
      <c r="S54" s="8">
        <v>82.81</v>
      </c>
      <c r="T54" s="8">
        <v>78.13</v>
      </c>
      <c r="U54" s="8">
        <v>102.3</v>
      </c>
    </row>
    <row r="55" spans="1:21" ht="12.75" outlineLevel="1">
      <c r="A55" s="1">
        <f t="shared" si="0"/>
        <v>49</v>
      </c>
      <c r="B55" s="4" t="s">
        <v>825</v>
      </c>
      <c r="C55" s="8">
        <v>226.8</v>
      </c>
      <c r="D55" s="8">
        <v>209.3</v>
      </c>
      <c r="E55" s="8">
        <v>180.9</v>
      </c>
      <c r="F55" s="8">
        <v>138.72</v>
      </c>
      <c r="G55" s="8">
        <v>134.04</v>
      </c>
      <c r="H55" s="8">
        <v>114.29</v>
      </c>
      <c r="I55" s="8">
        <v>109.61</v>
      </c>
      <c r="J55" s="8">
        <v>188.1</v>
      </c>
      <c r="K55" s="8">
        <v>165.42</v>
      </c>
      <c r="L55" s="8">
        <v>160.74</v>
      </c>
      <c r="M55" s="8">
        <v>201</v>
      </c>
      <c r="N55" s="8">
        <v>132.8</v>
      </c>
      <c r="O55" s="8">
        <v>168.8</v>
      </c>
      <c r="P55" s="8">
        <v>112.31</v>
      </c>
      <c r="Q55" s="8">
        <v>93.15</v>
      </c>
      <c r="R55" s="8">
        <v>88.47</v>
      </c>
      <c r="S55" s="8">
        <v>81.13</v>
      </c>
      <c r="T55" s="8">
        <v>76.45</v>
      </c>
      <c r="U55" s="8">
        <v>100.3</v>
      </c>
    </row>
    <row r="56" spans="1:21" ht="12.75" outlineLevel="1">
      <c r="A56" s="1">
        <f t="shared" si="0"/>
        <v>50</v>
      </c>
      <c r="B56" s="4" t="s">
        <v>826</v>
      </c>
      <c r="C56" s="8">
        <v>221.4</v>
      </c>
      <c r="D56" s="8">
        <v>201.2</v>
      </c>
      <c r="E56" s="8">
        <v>177.9</v>
      </c>
      <c r="F56" s="8">
        <v>136.33</v>
      </c>
      <c r="G56" s="8">
        <v>131.65</v>
      </c>
      <c r="H56" s="8">
        <v>128.6</v>
      </c>
      <c r="I56" s="8">
        <v>107.38</v>
      </c>
      <c r="J56" s="8">
        <v>185.1</v>
      </c>
      <c r="K56" s="8">
        <v>162.83</v>
      </c>
      <c r="L56" s="8">
        <v>158.15</v>
      </c>
      <c r="M56" s="8">
        <v>197</v>
      </c>
      <c r="N56" s="8">
        <v>129.8</v>
      </c>
      <c r="O56" s="8">
        <v>164.8</v>
      </c>
      <c r="P56" s="8">
        <v>109.3</v>
      </c>
      <c r="Q56" s="8">
        <v>90.65</v>
      </c>
      <c r="R56" s="8">
        <v>85.96</v>
      </c>
      <c r="S56" s="8">
        <v>78.97</v>
      </c>
      <c r="T56" s="8">
        <v>74.97</v>
      </c>
      <c r="U56" s="8">
        <v>97.3</v>
      </c>
    </row>
    <row r="57" spans="1:21" ht="12.75" outlineLevel="1">
      <c r="A57" s="1">
        <f t="shared" si="0"/>
        <v>51</v>
      </c>
      <c r="B57" s="4" t="s">
        <v>827</v>
      </c>
      <c r="C57" s="8">
        <v>208.5</v>
      </c>
      <c r="D57" s="8">
        <v>185.7</v>
      </c>
      <c r="E57" s="8">
        <v>165.1</v>
      </c>
      <c r="F57" s="8">
        <v>124.28</v>
      </c>
      <c r="G57" s="8">
        <v>119.6</v>
      </c>
      <c r="H57" s="8">
        <v>101.84</v>
      </c>
      <c r="I57" s="8">
        <v>97.16</v>
      </c>
      <c r="J57" s="8">
        <v>173.2</v>
      </c>
      <c r="K57" s="8">
        <v>150.98</v>
      </c>
      <c r="L57" s="8">
        <v>146.3</v>
      </c>
      <c r="M57" s="8">
        <v>183.6</v>
      </c>
      <c r="N57" s="8">
        <v>116.7</v>
      </c>
      <c r="O57" s="8">
        <v>150.1</v>
      </c>
      <c r="P57" s="8">
        <v>99.72</v>
      </c>
      <c r="Q57" s="8">
        <v>80.58</v>
      </c>
      <c r="R57" s="8">
        <v>75.9</v>
      </c>
      <c r="S57" s="8">
        <v>70.3</v>
      </c>
      <c r="T57" s="8">
        <v>65.62</v>
      </c>
      <c r="U57" s="8">
        <v>86.9</v>
      </c>
    </row>
    <row r="58" spans="1:21" ht="12.75" outlineLevel="1">
      <c r="A58" s="1">
        <f t="shared" si="0"/>
        <v>52</v>
      </c>
      <c r="B58" s="4" t="s">
        <v>828</v>
      </c>
      <c r="C58" s="8">
        <v>204.3</v>
      </c>
      <c r="D58" s="8">
        <v>181.5</v>
      </c>
      <c r="E58" s="8">
        <v>161</v>
      </c>
      <c r="F58" s="8">
        <v>120.1</v>
      </c>
      <c r="G58" s="8">
        <v>115.42</v>
      </c>
      <c r="H58" s="8">
        <v>98.24</v>
      </c>
      <c r="I58" s="8">
        <v>93.56</v>
      </c>
      <c r="J58" s="8">
        <v>169.1</v>
      </c>
      <c r="K58" s="8">
        <v>146.8</v>
      </c>
      <c r="L58" s="8">
        <v>142.12</v>
      </c>
      <c r="M58" s="8">
        <v>179.2</v>
      </c>
      <c r="N58" s="8">
        <v>112.8</v>
      </c>
      <c r="O58" s="8">
        <v>146</v>
      </c>
      <c r="P58" s="8">
        <v>95.7</v>
      </c>
      <c r="Q58" s="8">
        <v>76.57</v>
      </c>
      <c r="R58" s="8">
        <v>71.89</v>
      </c>
      <c r="S58" s="8">
        <v>66.84</v>
      </c>
      <c r="T58" s="8">
        <v>62.16</v>
      </c>
      <c r="U58" s="8">
        <v>85.9</v>
      </c>
    </row>
    <row r="59" spans="1:21" ht="12.75" outlineLevel="1">
      <c r="A59" s="1">
        <f t="shared" si="0"/>
        <v>53</v>
      </c>
      <c r="B59" s="4" t="s">
        <v>829</v>
      </c>
      <c r="C59" s="8">
        <v>200.1</v>
      </c>
      <c r="D59" s="8">
        <v>177.4</v>
      </c>
      <c r="E59" s="8">
        <v>157.6</v>
      </c>
      <c r="F59" s="8">
        <v>116.6</v>
      </c>
      <c r="G59" s="8">
        <v>111.92</v>
      </c>
      <c r="H59" s="8">
        <v>95.23</v>
      </c>
      <c r="I59" s="8">
        <v>90.55</v>
      </c>
      <c r="J59" s="8">
        <v>165.7</v>
      </c>
      <c r="K59" s="8">
        <v>143.3</v>
      </c>
      <c r="L59" s="8">
        <v>138.62</v>
      </c>
      <c r="M59" s="8">
        <v>175.9</v>
      </c>
      <c r="N59" s="8">
        <v>109.5</v>
      </c>
      <c r="O59" s="8">
        <v>142.4</v>
      </c>
      <c r="P59" s="8">
        <v>93.1</v>
      </c>
      <c r="Q59" s="8">
        <v>73.9</v>
      </c>
      <c r="R59" s="8">
        <v>69.22</v>
      </c>
      <c r="S59" s="8">
        <v>64.54</v>
      </c>
      <c r="T59" s="8">
        <v>59.86</v>
      </c>
      <c r="U59" s="8">
        <v>85.9</v>
      </c>
    </row>
    <row r="60" spans="2:21" ht="13.5" thickBot="1">
      <c r="B60" s="2" t="s">
        <v>65</v>
      </c>
      <c r="C60" s="16">
        <f>SUM(C7:C59)/53</f>
        <v>252.1735849056604</v>
      </c>
      <c r="D60" s="16">
        <f aca="true" t="shared" si="1" ref="D60:U60">SUM(D7:D59)/53</f>
        <v>237.11698113207544</v>
      </c>
      <c r="E60" s="16">
        <f t="shared" si="1"/>
        <v>208.96226415094338</v>
      </c>
      <c r="F60" s="16">
        <f t="shared" si="1"/>
        <v>162.6928301886793</v>
      </c>
      <c r="G60" s="16">
        <f t="shared" si="1"/>
        <v>161.30169811320752</v>
      </c>
      <c r="H60" s="16">
        <f t="shared" si="1"/>
        <v>138.58849056603773</v>
      </c>
      <c r="I60" s="16">
        <f t="shared" si="1"/>
        <v>133.59490566037738</v>
      </c>
      <c r="J60" s="16">
        <f t="shared" si="1"/>
        <v>215.95283018867926</v>
      </c>
      <c r="K60" s="16">
        <f t="shared" si="1"/>
        <v>192.13754716981137</v>
      </c>
      <c r="L60" s="16">
        <f t="shared" si="1"/>
        <v>187.3820754716981</v>
      </c>
      <c r="M60" s="16">
        <f t="shared" si="1"/>
        <v>225.08301886792452</v>
      </c>
      <c r="N60" s="16">
        <f t="shared" si="1"/>
        <v>154.56981132075472</v>
      </c>
      <c r="O60" s="16">
        <f t="shared" si="1"/>
        <v>193.2943396226416</v>
      </c>
      <c r="P60" s="16">
        <f t="shared" si="1"/>
        <v>138.20566037735856</v>
      </c>
      <c r="Q60" s="16">
        <f t="shared" si="1"/>
        <v>119.9115094339623</v>
      </c>
      <c r="R60" s="16">
        <f t="shared" si="1"/>
        <v>115.23132075471696</v>
      </c>
      <c r="S60" s="16">
        <f t="shared" si="1"/>
        <v>104.14660377358494</v>
      </c>
      <c r="T60" s="16">
        <f t="shared" si="1"/>
        <v>97.67283018867926</v>
      </c>
      <c r="U60" s="16">
        <f t="shared" si="1"/>
        <v>110.1979245283019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9" sqref="C59"/>
    </sheetView>
  </sheetViews>
  <sheetFormatPr defaultColWidth="11.421875" defaultRowHeight="12.75"/>
  <cols>
    <col min="1" max="1" width="3.00390625" style="0" bestFit="1" customWidth="1"/>
    <col min="2" max="2" width="23.57421875" style="0" bestFit="1" customWidth="1"/>
    <col min="3" max="4" width="9.00390625" style="0" bestFit="1" customWidth="1"/>
    <col min="5" max="5" width="8.140625" style="0" bestFit="1" customWidth="1"/>
    <col min="10" max="12" width="8.140625" style="0" bestFit="1" customWidth="1"/>
    <col min="13" max="13" width="7.140625" style="0" bestFit="1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8.8515625" style="0" bestFit="1" customWidth="1"/>
    <col min="18" max="18" width="9.00390625" style="0" customWidth="1"/>
    <col min="19" max="19" width="7.7109375" style="0" bestFit="1" customWidth="1"/>
    <col min="20" max="20" width="8.421875" style="0" customWidth="1"/>
    <col min="21" max="21" width="5.57421875" style="96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871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ht="12.75"/>
    <row r="5" spans="2:21" ht="12.75">
      <c r="B5" s="14" t="s">
        <v>830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1.7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291</v>
      </c>
      <c r="G6" s="15" t="s">
        <v>292</v>
      </c>
      <c r="H6" s="15" t="s">
        <v>5</v>
      </c>
      <c r="I6" s="15" t="s">
        <v>6</v>
      </c>
      <c r="J6" s="15" t="s">
        <v>293</v>
      </c>
      <c r="K6" s="15" t="s">
        <v>294</v>
      </c>
      <c r="L6" s="15" t="s">
        <v>295</v>
      </c>
      <c r="M6" s="15" t="s">
        <v>695</v>
      </c>
      <c r="N6" s="15" t="s">
        <v>10</v>
      </c>
      <c r="O6" s="15" t="s">
        <v>19</v>
      </c>
      <c r="P6" s="15" t="s">
        <v>296</v>
      </c>
      <c r="Q6" s="15" t="s">
        <v>12</v>
      </c>
      <c r="R6" s="15" t="s">
        <v>13</v>
      </c>
      <c r="S6" s="15" t="s">
        <v>297</v>
      </c>
      <c r="T6" s="15" t="s">
        <v>15</v>
      </c>
      <c r="U6" s="37" t="s">
        <v>75</v>
      </c>
    </row>
    <row r="7" spans="1:21" ht="12.75">
      <c r="A7" s="1">
        <v>1</v>
      </c>
      <c r="B7" s="4" t="s">
        <v>831</v>
      </c>
      <c r="C7" s="8">
        <v>197</v>
      </c>
      <c r="D7" s="8">
        <v>174.1</v>
      </c>
      <c r="E7" s="8">
        <v>154.9</v>
      </c>
      <c r="F7" s="8">
        <v>113.8</v>
      </c>
      <c r="G7" s="8">
        <v>109.12</v>
      </c>
      <c r="H7" s="8">
        <v>92.81</v>
      </c>
      <c r="I7" s="8">
        <v>88.13</v>
      </c>
      <c r="J7" s="8">
        <v>163</v>
      </c>
      <c r="K7" s="8">
        <v>140.5</v>
      </c>
      <c r="L7" s="8">
        <v>135.82</v>
      </c>
      <c r="M7" s="8">
        <v>172.6</v>
      </c>
      <c r="N7" s="8">
        <v>106.1</v>
      </c>
      <c r="O7" s="8">
        <v>138.7</v>
      </c>
      <c r="P7" s="8">
        <v>92</v>
      </c>
      <c r="Q7" s="8">
        <v>72.9</v>
      </c>
      <c r="R7" s="8">
        <v>68.22</v>
      </c>
      <c r="S7" s="8">
        <v>63.68</v>
      </c>
      <c r="T7" s="9">
        <v>59</v>
      </c>
      <c r="U7" s="9">
        <v>85.9</v>
      </c>
    </row>
    <row r="8" spans="1:21" ht="12.75">
      <c r="A8" s="1">
        <f>A7+1</f>
        <v>2</v>
      </c>
      <c r="B8" s="4" t="s">
        <v>832</v>
      </c>
      <c r="C8" s="8">
        <v>195.9</v>
      </c>
      <c r="D8" s="8">
        <v>175.1</v>
      </c>
      <c r="E8" s="8">
        <v>154.3</v>
      </c>
      <c r="F8" s="8">
        <v>113.8</v>
      </c>
      <c r="G8" s="8">
        <v>109.12</v>
      </c>
      <c r="H8" s="8">
        <v>92.81</v>
      </c>
      <c r="I8" s="8">
        <v>88.13</v>
      </c>
      <c r="J8" s="8">
        <v>163</v>
      </c>
      <c r="K8" s="8">
        <v>140.5</v>
      </c>
      <c r="L8" s="8">
        <v>135.82</v>
      </c>
      <c r="M8" s="8">
        <v>172.6</v>
      </c>
      <c r="N8" s="8">
        <v>104.8</v>
      </c>
      <c r="O8" s="8">
        <v>137.3</v>
      </c>
      <c r="P8" s="8">
        <v>90</v>
      </c>
      <c r="Q8" s="8">
        <v>70.9</v>
      </c>
      <c r="R8" s="8">
        <v>66.22</v>
      </c>
      <c r="S8" s="8">
        <v>61.95</v>
      </c>
      <c r="T8" s="9">
        <v>57.27</v>
      </c>
      <c r="U8" s="9">
        <v>84.9</v>
      </c>
    </row>
    <row r="9" spans="1:21" ht="12.75">
      <c r="A9" s="1">
        <f>A8+1</f>
        <v>3</v>
      </c>
      <c r="B9" s="4" t="s">
        <v>833</v>
      </c>
      <c r="C9" s="8">
        <v>193.8</v>
      </c>
      <c r="D9" s="8">
        <v>171.1</v>
      </c>
      <c r="E9" s="8">
        <v>152.7</v>
      </c>
      <c r="F9" s="8">
        <v>111.5</v>
      </c>
      <c r="G9" s="8">
        <v>106.81</v>
      </c>
      <c r="H9" s="8">
        <v>90.82</v>
      </c>
      <c r="I9" s="8">
        <v>86.14</v>
      </c>
      <c r="J9" s="8">
        <v>160.8</v>
      </c>
      <c r="K9" s="8">
        <v>138.19</v>
      </c>
      <c r="L9" s="8">
        <v>133.51</v>
      </c>
      <c r="M9" s="8">
        <v>169.6</v>
      </c>
      <c r="N9" s="8">
        <v>101.7</v>
      </c>
      <c r="O9" s="8">
        <v>134.1</v>
      </c>
      <c r="P9" s="8">
        <v>87.2</v>
      </c>
      <c r="Q9" s="8">
        <v>68</v>
      </c>
      <c r="R9" s="8">
        <v>63.32</v>
      </c>
      <c r="S9" s="8">
        <v>59.45</v>
      </c>
      <c r="T9" s="9">
        <v>54.77</v>
      </c>
      <c r="U9" s="9">
        <v>83.9</v>
      </c>
    </row>
    <row r="10" spans="1:21" ht="12.75">
      <c r="A10" s="1">
        <f aca="true" t="shared" si="0" ref="A10:A58">A9+1</f>
        <v>4</v>
      </c>
      <c r="B10" s="4" t="s">
        <v>834</v>
      </c>
      <c r="C10" s="8">
        <v>192.8</v>
      </c>
      <c r="D10" s="8">
        <v>170.1</v>
      </c>
      <c r="E10" s="8">
        <v>149.7</v>
      </c>
      <c r="F10" s="8">
        <v>108.2</v>
      </c>
      <c r="G10" s="8">
        <v>103.52</v>
      </c>
      <c r="H10" s="8">
        <v>87.98</v>
      </c>
      <c r="I10" s="8">
        <v>83.3</v>
      </c>
      <c r="J10" s="8">
        <v>157.8</v>
      </c>
      <c r="K10" s="8">
        <v>134.9</v>
      </c>
      <c r="L10" s="8">
        <v>130.22</v>
      </c>
      <c r="M10" s="8">
        <v>166.6</v>
      </c>
      <c r="N10" s="8">
        <v>99.7</v>
      </c>
      <c r="O10" s="8">
        <v>132.1</v>
      </c>
      <c r="P10" s="8">
        <v>84.5</v>
      </c>
      <c r="Q10" s="8">
        <v>66</v>
      </c>
      <c r="R10" s="8">
        <v>61.32</v>
      </c>
      <c r="S10" s="8">
        <v>57.73</v>
      </c>
      <c r="T10" s="9">
        <v>53.05</v>
      </c>
      <c r="U10" s="18">
        <v>82.9</v>
      </c>
    </row>
    <row r="11" spans="1:21" ht="12.75">
      <c r="A11" s="1">
        <f t="shared" si="0"/>
        <v>5</v>
      </c>
      <c r="B11" s="4" t="s">
        <v>835</v>
      </c>
      <c r="C11" s="8">
        <v>192.8</v>
      </c>
      <c r="D11" s="8">
        <v>170.1</v>
      </c>
      <c r="E11" s="8">
        <v>149.7</v>
      </c>
      <c r="F11" s="8">
        <v>108.2</v>
      </c>
      <c r="G11" s="8">
        <v>103.52</v>
      </c>
      <c r="H11" s="8">
        <v>87.98</v>
      </c>
      <c r="I11" s="8">
        <v>83.3</v>
      </c>
      <c r="J11" s="8">
        <v>157.8</v>
      </c>
      <c r="K11" s="8">
        <v>134.9</v>
      </c>
      <c r="L11" s="8">
        <v>130.22</v>
      </c>
      <c r="M11" s="8">
        <v>166.6</v>
      </c>
      <c r="N11" s="8">
        <v>99.7</v>
      </c>
      <c r="O11" s="8">
        <v>132.1</v>
      </c>
      <c r="P11" s="8">
        <v>84.6</v>
      </c>
      <c r="Q11" s="8">
        <v>66</v>
      </c>
      <c r="R11" s="8">
        <v>61.32</v>
      </c>
      <c r="S11" s="8">
        <v>57.73</v>
      </c>
      <c r="T11" s="9">
        <v>53.05</v>
      </c>
      <c r="U11" s="18">
        <v>82.9</v>
      </c>
    </row>
    <row r="12" spans="1:21" ht="12.75">
      <c r="A12" s="1">
        <f t="shared" si="0"/>
        <v>6</v>
      </c>
      <c r="B12" s="4" t="s">
        <v>836</v>
      </c>
      <c r="C12" s="8">
        <v>196.7</v>
      </c>
      <c r="D12" s="8">
        <v>174.2</v>
      </c>
      <c r="E12" s="8">
        <v>152</v>
      </c>
      <c r="F12" s="8">
        <v>110.21</v>
      </c>
      <c r="G12" s="8">
        <v>105.53</v>
      </c>
      <c r="H12" s="8">
        <v>89.71</v>
      </c>
      <c r="I12" s="8">
        <v>85.03</v>
      </c>
      <c r="J12" s="8">
        <v>160.1</v>
      </c>
      <c r="K12" s="8">
        <v>136.91</v>
      </c>
      <c r="L12" s="8">
        <v>132.23</v>
      </c>
      <c r="M12" s="8">
        <v>168.9</v>
      </c>
      <c r="N12" s="8">
        <v>100.9</v>
      </c>
      <c r="O12" s="8">
        <v>133.8</v>
      </c>
      <c r="P12" s="8">
        <v>85.96</v>
      </c>
      <c r="Q12" s="8">
        <v>67.02</v>
      </c>
      <c r="R12" s="8">
        <v>62.34</v>
      </c>
      <c r="S12" s="8">
        <v>58.61</v>
      </c>
      <c r="T12" s="9">
        <v>53.93</v>
      </c>
      <c r="U12" s="18">
        <v>84.5</v>
      </c>
    </row>
    <row r="13" spans="1:21" ht="12.75">
      <c r="A13" s="1">
        <f t="shared" si="0"/>
        <v>7</v>
      </c>
      <c r="B13" s="4" t="s">
        <v>837</v>
      </c>
      <c r="C13" s="8">
        <v>200.7</v>
      </c>
      <c r="D13" s="8">
        <v>178.3</v>
      </c>
      <c r="E13" s="8">
        <v>155.2</v>
      </c>
      <c r="F13" s="8">
        <v>113.19</v>
      </c>
      <c r="G13" s="8">
        <v>108.51</v>
      </c>
      <c r="H13" s="8">
        <v>92.28</v>
      </c>
      <c r="I13" s="8">
        <v>87.6</v>
      </c>
      <c r="J13" s="8">
        <v>163.3</v>
      </c>
      <c r="K13" s="8">
        <v>139.89</v>
      </c>
      <c r="L13" s="8">
        <v>135.21</v>
      </c>
      <c r="M13" s="8">
        <v>172.6</v>
      </c>
      <c r="N13" s="8">
        <v>108.5</v>
      </c>
      <c r="O13" s="8">
        <v>142.5</v>
      </c>
      <c r="P13" s="8">
        <v>94.77</v>
      </c>
      <c r="Q13" s="8">
        <v>75.6</v>
      </c>
      <c r="R13" s="8">
        <v>70.92</v>
      </c>
      <c r="S13" s="8">
        <v>66</v>
      </c>
      <c r="T13" s="9">
        <v>61.32</v>
      </c>
      <c r="U13" s="18">
        <v>86.6</v>
      </c>
    </row>
    <row r="14" spans="1:21" ht="12.75">
      <c r="A14" s="1">
        <f t="shared" si="0"/>
        <v>8</v>
      </c>
      <c r="B14" s="4" t="s">
        <v>838</v>
      </c>
      <c r="C14" s="8">
        <v>204</v>
      </c>
      <c r="D14" s="8">
        <v>181.6</v>
      </c>
      <c r="E14" s="8">
        <v>157.8</v>
      </c>
      <c r="F14" s="8">
        <v>115.7</v>
      </c>
      <c r="G14" s="8">
        <v>111.02</v>
      </c>
      <c r="H14" s="8">
        <v>94.45</v>
      </c>
      <c r="I14" s="8">
        <v>89.77</v>
      </c>
      <c r="J14" s="8">
        <v>165.9</v>
      </c>
      <c r="K14" s="8">
        <v>142.4</v>
      </c>
      <c r="L14" s="8">
        <v>137.72</v>
      </c>
      <c r="M14" s="8">
        <v>176.1</v>
      </c>
      <c r="N14" s="8">
        <v>110.8</v>
      </c>
      <c r="O14" s="8">
        <v>145</v>
      </c>
      <c r="P14" s="8">
        <v>97.08</v>
      </c>
      <c r="Q14" s="8">
        <v>77.94</v>
      </c>
      <c r="R14" s="8">
        <v>73.26</v>
      </c>
      <c r="S14" s="8">
        <v>68.02</v>
      </c>
      <c r="T14" s="9">
        <v>63.34</v>
      </c>
      <c r="U14" s="18">
        <v>88.2</v>
      </c>
    </row>
    <row r="15" spans="1:21" ht="12.75">
      <c r="A15" s="1">
        <f t="shared" si="0"/>
        <v>9</v>
      </c>
      <c r="B15" s="4" t="s">
        <v>839</v>
      </c>
      <c r="C15" s="8">
        <v>204</v>
      </c>
      <c r="D15" s="8">
        <v>181.6</v>
      </c>
      <c r="E15" s="8">
        <v>157.8</v>
      </c>
      <c r="F15" s="8">
        <v>115.7</v>
      </c>
      <c r="G15" s="8">
        <v>111.02</v>
      </c>
      <c r="H15" s="8">
        <v>94.45</v>
      </c>
      <c r="I15" s="8">
        <v>89.77</v>
      </c>
      <c r="J15" s="8">
        <v>165.9</v>
      </c>
      <c r="K15" s="8">
        <v>142.4</v>
      </c>
      <c r="L15" s="8">
        <v>137.72</v>
      </c>
      <c r="M15" s="8">
        <v>176.1</v>
      </c>
      <c r="N15" s="8">
        <v>110.8</v>
      </c>
      <c r="O15" s="8">
        <v>145</v>
      </c>
      <c r="P15" s="8">
        <v>97.08</v>
      </c>
      <c r="Q15" s="8">
        <v>77.94</v>
      </c>
      <c r="R15" s="8">
        <v>73.26</v>
      </c>
      <c r="S15" s="8">
        <v>68.02</v>
      </c>
      <c r="T15" s="9">
        <v>63.34</v>
      </c>
      <c r="U15" s="18">
        <v>88.2</v>
      </c>
    </row>
    <row r="16" spans="1:21" ht="12.75">
      <c r="A16" s="1">
        <f t="shared" si="0"/>
        <v>10</v>
      </c>
      <c r="B16" s="4" t="s">
        <v>840</v>
      </c>
      <c r="C16" s="8">
        <v>209</v>
      </c>
      <c r="D16" s="8">
        <v>185.6</v>
      </c>
      <c r="E16" s="8">
        <v>161.3</v>
      </c>
      <c r="F16" s="8">
        <v>119.12</v>
      </c>
      <c r="G16" s="8">
        <v>114.44</v>
      </c>
      <c r="H16" s="8">
        <v>97.39</v>
      </c>
      <c r="I16" s="8">
        <v>92.71</v>
      </c>
      <c r="J16" s="8">
        <v>169.4</v>
      </c>
      <c r="K16" s="8">
        <v>145.82</v>
      </c>
      <c r="L16" s="8">
        <v>141.14</v>
      </c>
      <c r="M16" s="8">
        <v>178.8</v>
      </c>
      <c r="N16" s="8">
        <v>115.6</v>
      </c>
      <c r="O16" s="8">
        <v>146.9</v>
      </c>
      <c r="P16" s="8">
        <v>97.08</v>
      </c>
      <c r="Q16" s="8">
        <v>77.94</v>
      </c>
      <c r="R16" s="8">
        <v>73.26</v>
      </c>
      <c r="S16" s="8">
        <v>68.02</v>
      </c>
      <c r="T16" s="9">
        <v>63.34</v>
      </c>
      <c r="U16" s="18">
        <v>89.7</v>
      </c>
    </row>
    <row r="17" spans="1:21" ht="12.75">
      <c r="A17" s="1">
        <f t="shared" si="0"/>
        <v>11</v>
      </c>
      <c r="B17" s="4" t="s">
        <v>841</v>
      </c>
      <c r="C17" s="8">
        <v>213</v>
      </c>
      <c r="D17" s="8">
        <v>188.6</v>
      </c>
      <c r="E17" s="8">
        <v>162.4</v>
      </c>
      <c r="F17" s="8">
        <v>120.16</v>
      </c>
      <c r="G17" s="8">
        <v>115.48</v>
      </c>
      <c r="H17" s="8">
        <v>98.29</v>
      </c>
      <c r="I17" s="8">
        <v>93.61</v>
      </c>
      <c r="J17" s="8">
        <v>170.5</v>
      </c>
      <c r="K17" s="8">
        <v>146.86</v>
      </c>
      <c r="L17" s="8">
        <v>142.18</v>
      </c>
      <c r="M17" s="8">
        <v>179.9</v>
      </c>
      <c r="N17" s="8">
        <v>115.6</v>
      </c>
      <c r="O17" s="8">
        <v>146.9</v>
      </c>
      <c r="P17" s="8">
        <v>97.08</v>
      </c>
      <c r="Q17" s="8">
        <v>77.94</v>
      </c>
      <c r="R17" s="8">
        <v>73.26</v>
      </c>
      <c r="S17" s="8">
        <v>68.02</v>
      </c>
      <c r="T17" s="9">
        <v>63.34</v>
      </c>
      <c r="U17" s="18">
        <v>89.7</v>
      </c>
    </row>
    <row r="18" spans="1:21" ht="12.75">
      <c r="A18" s="1">
        <f t="shared" si="0"/>
        <v>12</v>
      </c>
      <c r="B18" s="4" t="s">
        <v>842</v>
      </c>
      <c r="C18" s="17">
        <v>213</v>
      </c>
      <c r="D18" s="17">
        <v>188.6</v>
      </c>
      <c r="E18" s="17">
        <v>157.3</v>
      </c>
      <c r="F18" s="17">
        <v>115.03</v>
      </c>
      <c r="G18" s="17">
        <v>110.35</v>
      </c>
      <c r="H18" s="17">
        <v>93.87</v>
      </c>
      <c r="I18" s="17">
        <v>89.19</v>
      </c>
      <c r="J18" s="17">
        <v>165.4</v>
      </c>
      <c r="K18" s="17">
        <v>141.73</v>
      </c>
      <c r="L18" s="17">
        <v>137.05</v>
      </c>
      <c r="M18" s="17">
        <v>176.7</v>
      </c>
      <c r="N18" s="17">
        <v>110.9</v>
      </c>
      <c r="O18" s="17">
        <v>141.7</v>
      </c>
      <c r="P18" s="17">
        <v>92.78</v>
      </c>
      <c r="Q18" s="17">
        <v>73.63</v>
      </c>
      <c r="R18" s="17">
        <v>68.95</v>
      </c>
      <c r="S18" s="17">
        <v>64.31</v>
      </c>
      <c r="T18" s="18">
        <v>59.63</v>
      </c>
      <c r="U18" s="9">
        <v>87.2</v>
      </c>
    </row>
    <row r="19" spans="1:21" ht="12.75">
      <c r="A19" s="1">
        <f t="shared" si="0"/>
        <v>13</v>
      </c>
      <c r="B19" s="4" t="s">
        <v>881</v>
      </c>
      <c r="C19" s="17">
        <v>213</v>
      </c>
      <c r="D19" s="17">
        <v>188.6</v>
      </c>
      <c r="E19" s="17">
        <v>154.5</v>
      </c>
      <c r="F19" s="17">
        <v>112.31</v>
      </c>
      <c r="G19" s="17">
        <v>107.63</v>
      </c>
      <c r="H19" s="17">
        <v>91.52</v>
      </c>
      <c r="I19" s="17">
        <v>86.84</v>
      </c>
      <c r="J19" s="17">
        <v>162.5</v>
      </c>
      <c r="K19" s="17">
        <v>139.01</v>
      </c>
      <c r="L19" s="17">
        <v>134.33</v>
      </c>
      <c r="M19" s="17">
        <v>174.8</v>
      </c>
      <c r="N19" s="17">
        <v>108</v>
      </c>
      <c r="O19" s="17">
        <v>138.5</v>
      </c>
      <c r="P19" s="17">
        <v>90.93</v>
      </c>
      <c r="Q19" s="17">
        <v>71.79</v>
      </c>
      <c r="R19" s="17">
        <v>67.11</v>
      </c>
      <c r="S19" s="17">
        <v>62.72</v>
      </c>
      <c r="T19" s="18">
        <v>58.04</v>
      </c>
      <c r="U19" s="9">
        <v>85.5</v>
      </c>
    </row>
    <row r="20" spans="1:21" ht="12.75">
      <c r="A20" s="1">
        <f t="shared" si="0"/>
        <v>14</v>
      </c>
      <c r="B20" s="4" t="s">
        <v>882</v>
      </c>
      <c r="C20" s="17">
        <v>213</v>
      </c>
      <c r="D20" s="17">
        <v>188.6</v>
      </c>
      <c r="E20" s="17">
        <v>154.5</v>
      </c>
      <c r="F20" s="17">
        <v>112.31</v>
      </c>
      <c r="G20" s="17">
        <v>107.63</v>
      </c>
      <c r="H20" s="17">
        <v>91.52</v>
      </c>
      <c r="I20" s="17">
        <v>86.84</v>
      </c>
      <c r="J20" s="17">
        <v>162.5</v>
      </c>
      <c r="K20" s="17">
        <v>139.01</v>
      </c>
      <c r="L20" s="17">
        <v>134.33</v>
      </c>
      <c r="M20" s="17">
        <v>174.8</v>
      </c>
      <c r="N20" s="17">
        <v>108</v>
      </c>
      <c r="O20" s="17">
        <v>138.5</v>
      </c>
      <c r="P20" s="17">
        <v>90.93</v>
      </c>
      <c r="Q20" s="17">
        <v>71.79</v>
      </c>
      <c r="R20" s="17">
        <v>67.11</v>
      </c>
      <c r="S20" s="17">
        <v>62.72</v>
      </c>
      <c r="T20" s="18">
        <v>58.04</v>
      </c>
      <c r="U20" s="9">
        <v>85.5</v>
      </c>
    </row>
    <row r="21" spans="1:21" ht="12.75">
      <c r="A21" s="1">
        <f t="shared" si="0"/>
        <v>15</v>
      </c>
      <c r="B21" s="4" t="s">
        <v>843</v>
      </c>
      <c r="C21" s="17">
        <v>215.7</v>
      </c>
      <c r="D21" s="17">
        <v>191.7</v>
      </c>
      <c r="E21" s="17">
        <v>156.7</v>
      </c>
      <c r="F21" s="17">
        <v>114.41</v>
      </c>
      <c r="G21" s="17">
        <v>109.73</v>
      </c>
      <c r="H21" s="17">
        <v>93.33</v>
      </c>
      <c r="I21" s="17">
        <v>88.65</v>
      </c>
      <c r="J21" s="17">
        <v>164.7</v>
      </c>
      <c r="K21" s="17">
        <v>141.11</v>
      </c>
      <c r="L21" s="17">
        <v>136.43</v>
      </c>
      <c r="M21" s="17">
        <v>174.8</v>
      </c>
      <c r="N21" s="17">
        <v>108</v>
      </c>
      <c r="O21" s="17">
        <v>138.5</v>
      </c>
      <c r="P21" s="17">
        <v>90.93</v>
      </c>
      <c r="Q21" s="17">
        <v>71.79</v>
      </c>
      <c r="R21" s="17">
        <v>67.11</v>
      </c>
      <c r="S21" s="17">
        <v>62.72</v>
      </c>
      <c r="T21" s="18">
        <v>58.04</v>
      </c>
      <c r="U21" s="9">
        <v>85.5</v>
      </c>
    </row>
    <row r="22" spans="1:21" ht="12.75">
      <c r="A22" s="1">
        <f t="shared" si="0"/>
        <v>16</v>
      </c>
      <c r="B22" s="4" t="s">
        <v>844</v>
      </c>
      <c r="C22" s="17">
        <v>218.7</v>
      </c>
      <c r="D22" s="17">
        <v>194.6</v>
      </c>
      <c r="E22" s="17">
        <v>159.4</v>
      </c>
      <c r="F22" s="17">
        <v>117.18</v>
      </c>
      <c r="G22" s="17">
        <v>112.5</v>
      </c>
      <c r="H22" s="17">
        <v>95.72</v>
      </c>
      <c r="I22" s="17">
        <v>91.04</v>
      </c>
      <c r="J22" s="17">
        <v>166.9</v>
      </c>
      <c r="K22" s="17">
        <v>143.88</v>
      </c>
      <c r="L22" s="17">
        <v>139.2</v>
      </c>
      <c r="M22" s="17">
        <v>177.3</v>
      </c>
      <c r="N22" s="17">
        <v>110.2</v>
      </c>
      <c r="O22" s="17">
        <v>141.2</v>
      </c>
      <c r="P22" s="17">
        <v>93.13</v>
      </c>
      <c r="Q22" s="17">
        <v>73.89</v>
      </c>
      <c r="R22" s="17">
        <v>69.21</v>
      </c>
      <c r="S22" s="17">
        <v>64.53</v>
      </c>
      <c r="T22" s="18">
        <v>59.85</v>
      </c>
      <c r="U22" s="9">
        <v>87.5</v>
      </c>
    </row>
    <row r="23" spans="1:21" ht="12.75">
      <c r="A23" s="1">
        <f t="shared" si="0"/>
        <v>17</v>
      </c>
      <c r="B23" s="4" t="s">
        <v>845</v>
      </c>
      <c r="C23" s="17">
        <v>220.2</v>
      </c>
      <c r="D23" s="17">
        <v>198.1</v>
      </c>
      <c r="E23" s="17">
        <v>162.9</v>
      </c>
      <c r="F23" s="17">
        <v>120.88</v>
      </c>
      <c r="G23" s="17">
        <v>116.2</v>
      </c>
      <c r="H23" s="17">
        <v>98.91</v>
      </c>
      <c r="I23" s="17">
        <v>94.23</v>
      </c>
      <c r="J23" s="17">
        <v>171.1</v>
      </c>
      <c r="K23" s="17">
        <v>147.58</v>
      </c>
      <c r="L23" s="17">
        <v>142.9</v>
      </c>
      <c r="M23" s="17">
        <v>182.1</v>
      </c>
      <c r="N23" s="17">
        <v>113.9</v>
      </c>
      <c r="O23" s="17">
        <v>144.8</v>
      </c>
      <c r="P23" s="17">
        <v>95.14</v>
      </c>
      <c r="Q23" s="17">
        <v>76.01</v>
      </c>
      <c r="R23" s="17">
        <v>71.33</v>
      </c>
      <c r="S23" s="17">
        <v>66.36</v>
      </c>
      <c r="T23" s="18">
        <v>61.68</v>
      </c>
      <c r="U23" s="9">
        <v>87.5</v>
      </c>
    </row>
    <row r="24" spans="1:21" ht="12.75">
      <c r="A24" s="1">
        <f t="shared" si="0"/>
        <v>18</v>
      </c>
      <c r="B24" s="4" t="s">
        <v>883</v>
      </c>
      <c r="C24" s="17">
        <v>224.9</v>
      </c>
      <c r="D24" s="17">
        <v>202.3</v>
      </c>
      <c r="E24" s="17">
        <v>164.2</v>
      </c>
      <c r="F24" s="17">
        <v>122.18</v>
      </c>
      <c r="G24" s="17">
        <v>117.5</v>
      </c>
      <c r="H24" s="17">
        <v>100.03</v>
      </c>
      <c r="I24" s="17">
        <v>95.35</v>
      </c>
      <c r="J24" s="17">
        <v>172.2</v>
      </c>
      <c r="K24" s="17">
        <v>148.88</v>
      </c>
      <c r="L24" s="17">
        <v>144</v>
      </c>
      <c r="M24" s="17">
        <v>184</v>
      </c>
      <c r="N24" s="17">
        <v>116</v>
      </c>
      <c r="O24" s="17">
        <v>146.9</v>
      </c>
      <c r="P24" s="17">
        <v>96.81</v>
      </c>
      <c r="Q24" s="17">
        <v>77.67</v>
      </c>
      <c r="R24" s="17">
        <v>72.99</v>
      </c>
      <c r="S24" s="17">
        <v>67.79</v>
      </c>
      <c r="T24" s="18">
        <v>63.11</v>
      </c>
      <c r="U24" s="9">
        <v>87.5</v>
      </c>
    </row>
    <row r="25" spans="1:21" ht="12.75">
      <c r="A25" s="1">
        <f t="shared" si="0"/>
        <v>19</v>
      </c>
      <c r="B25" s="4" t="s">
        <v>846</v>
      </c>
      <c r="C25" s="8">
        <v>225.9</v>
      </c>
      <c r="D25" s="8">
        <v>204.5</v>
      </c>
      <c r="E25" s="8">
        <v>166.7</v>
      </c>
      <c r="F25" s="8">
        <v>124.72</v>
      </c>
      <c r="G25" s="8">
        <v>120.04</v>
      </c>
      <c r="H25" s="8">
        <v>102.22</v>
      </c>
      <c r="I25" s="8">
        <v>97.54</v>
      </c>
      <c r="J25" s="8">
        <v>174.7</v>
      </c>
      <c r="K25" s="8">
        <v>151.42</v>
      </c>
      <c r="L25" s="8">
        <v>146.74</v>
      </c>
      <c r="M25" s="8">
        <v>186.2</v>
      </c>
      <c r="N25" s="8">
        <v>121.1</v>
      </c>
      <c r="O25" s="8">
        <v>152.5</v>
      </c>
      <c r="P25" s="8">
        <v>99.63</v>
      </c>
      <c r="Q25" s="8">
        <v>80.49</v>
      </c>
      <c r="R25" s="8">
        <v>75.81</v>
      </c>
      <c r="S25" s="8">
        <v>70.22</v>
      </c>
      <c r="T25" s="9">
        <v>65.54</v>
      </c>
      <c r="U25" s="9">
        <v>87.5</v>
      </c>
    </row>
    <row r="26" spans="1:22" ht="12.75">
      <c r="A26" s="1">
        <f t="shared" si="0"/>
        <v>20</v>
      </c>
      <c r="B26" s="4" t="s">
        <v>847</v>
      </c>
      <c r="C26" s="8">
        <v>229.2</v>
      </c>
      <c r="D26" s="8">
        <v>204.5</v>
      </c>
      <c r="E26" s="8">
        <v>166.7</v>
      </c>
      <c r="F26" s="8">
        <v>124.72</v>
      </c>
      <c r="G26" s="8">
        <v>120.04</v>
      </c>
      <c r="H26" s="8">
        <v>102.22</v>
      </c>
      <c r="I26" s="8">
        <v>97.54</v>
      </c>
      <c r="J26" s="8">
        <v>174.7</v>
      </c>
      <c r="K26" s="8">
        <v>151.42</v>
      </c>
      <c r="L26" s="8">
        <v>146.74</v>
      </c>
      <c r="M26" s="8">
        <v>186.2</v>
      </c>
      <c r="N26" s="8">
        <v>121.1</v>
      </c>
      <c r="O26" s="8">
        <v>152.5</v>
      </c>
      <c r="P26" s="8">
        <v>99.63</v>
      </c>
      <c r="Q26" s="8">
        <v>80.49</v>
      </c>
      <c r="R26" s="8">
        <v>75.81</v>
      </c>
      <c r="S26" s="8">
        <v>70.22</v>
      </c>
      <c r="T26" s="9">
        <v>65.54</v>
      </c>
      <c r="U26" s="9">
        <v>87.5</v>
      </c>
      <c r="V26" s="97"/>
    </row>
    <row r="27" spans="1:21" ht="12.75">
      <c r="A27" s="1">
        <f t="shared" si="0"/>
        <v>21</v>
      </c>
      <c r="B27" s="4" t="s">
        <v>848</v>
      </c>
      <c r="C27" s="8">
        <v>225.9</v>
      </c>
      <c r="D27" s="8">
        <v>204.5</v>
      </c>
      <c r="E27" s="8">
        <v>166.7</v>
      </c>
      <c r="F27" s="8">
        <v>124.72</v>
      </c>
      <c r="G27" s="8">
        <v>120.04</v>
      </c>
      <c r="H27" s="8">
        <v>102.22</v>
      </c>
      <c r="I27" s="8">
        <v>97.54</v>
      </c>
      <c r="J27" s="8">
        <v>174.7</v>
      </c>
      <c r="K27" s="8">
        <v>151.42</v>
      </c>
      <c r="L27" s="8">
        <v>146.74</v>
      </c>
      <c r="M27" s="8">
        <v>186.2</v>
      </c>
      <c r="N27" s="8">
        <v>121.1</v>
      </c>
      <c r="O27" s="8">
        <v>152.5</v>
      </c>
      <c r="P27" s="8">
        <v>99.63</v>
      </c>
      <c r="Q27" s="8">
        <v>80.49</v>
      </c>
      <c r="R27" s="8">
        <v>75.81</v>
      </c>
      <c r="S27" s="8">
        <v>70.22</v>
      </c>
      <c r="T27" s="8">
        <v>65.54</v>
      </c>
      <c r="U27" s="9">
        <v>87.5</v>
      </c>
    </row>
    <row r="28" spans="1:21" ht="12.75">
      <c r="A28" s="1">
        <f t="shared" si="0"/>
        <v>22</v>
      </c>
      <c r="B28" s="4" t="s">
        <v>849</v>
      </c>
      <c r="C28" s="8">
        <v>225.9</v>
      </c>
      <c r="D28" s="8">
        <v>204.5</v>
      </c>
      <c r="E28" s="8">
        <v>166.7</v>
      </c>
      <c r="F28" s="8">
        <v>124.72</v>
      </c>
      <c r="G28" s="8">
        <v>120.04</v>
      </c>
      <c r="H28" s="8">
        <v>102.22</v>
      </c>
      <c r="I28" s="8">
        <v>97.54</v>
      </c>
      <c r="J28" s="8">
        <v>174.7</v>
      </c>
      <c r="K28" s="8">
        <v>151.42</v>
      </c>
      <c r="L28" s="8">
        <v>146.74</v>
      </c>
      <c r="M28" s="8">
        <v>186.2</v>
      </c>
      <c r="N28" s="8">
        <v>121.1</v>
      </c>
      <c r="O28" s="8">
        <v>152.5</v>
      </c>
      <c r="P28" s="8">
        <v>99.63</v>
      </c>
      <c r="Q28" s="8">
        <v>80.49</v>
      </c>
      <c r="R28" s="8">
        <v>75.81</v>
      </c>
      <c r="S28" s="8">
        <v>70.22</v>
      </c>
      <c r="T28" s="8">
        <v>65.54</v>
      </c>
      <c r="U28" s="9">
        <v>83.2</v>
      </c>
    </row>
    <row r="29" spans="1:21" ht="12.75">
      <c r="A29" s="1">
        <f t="shared" si="0"/>
        <v>23</v>
      </c>
      <c r="B29" s="4" t="s">
        <v>850</v>
      </c>
      <c r="C29" s="8">
        <v>227.3</v>
      </c>
      <c r="D29" s="8">
        <v>207.1</v>
      </c>
      <c r="E29" s="8">
        <v>166.7</v>
      </c>
      <c r="F29" s="8">
        <v>124.72</v>
      </c>
      <c r="G29" s="8">
        <v>120.04</v>
      </c>
      <c r="H29" s="8">
        <v>102.22</v>
      </c>
      <c r="I29" s="8">
        <v>97.54</v>
      </c>
      <c r="J29" s="8">
        <v>174.7</v>
      </c>
      <c r="K29" s="8">
        <v>151.42</v>
      </c>
      <c r="L29" s="8">
        <v>146.74</v>
      </c>
      <c r="M29" s="8">
        <v>186.2</v>
      </c>
      <c r="N29" s="8">
        <v>121.1</v>
      </c>
      <c r="O29" s="8">
        <v>152.5</v>
      </c>
      <c r="P29" s="8">
        <v>99.63</v>
      </c>
      <c r="Q29" s="8">
        <v>80.46</v>
      </c>
      <c r="R29" s="8">
        <v>75.81</v>
      </c>
      <c r="S29" s="8">
        <v>70.22</v>
      </c>
      <c r="T29" s="8">
        <v>65.54</v>
      </c>
      <c r="U29" s="9">
        <v>83.2</v>
      </c>
    </row>
    <row r="30" spans="1:21" ht="12.75">
      <c r="A30" s="1">
        <f t="shared" si="0"/>
        <v>24</v>
      </c>
      <c r="B30" s="4" t="s">
        <v>851</v>
      </c>
      <c r="C30" s="8">
        <v>225.5</v>
      </c>
      <c r="D30" s="8">
        <v>205.1</v>
      </c>
      <c r="E30" s="8">
        <v>165.2</v>
      </c>
      <c r="F30" s="8">
        <v>123.21</v>
      </c>
      <c r="G30" s="8">
        <v>118.53</v>
      </c>
      <c r="H30" s="8">
        <v>100.92</v>
      </c>
      <c r="I30" s="8">
        <v>96.24</v>
      </c>
      <c r="J30" s="8">
        <v>173.2</v>
      </c>
      <c r="K30" s="8">
        <v>149.91</v>
      </c>
      <c r="L30" s="8">
        <v>145.23</v>
      </c>
      <c r="M30" s="8">
        <v>184.7</v>
      </c>
      <c r="N30" s="8">
        <v>119.9</v>
      </c>
      <c r="O30" s="8">
        <v>150.3</v>
      </c>
      <c r="P30" s="8">
        <v>98.53</v>
      </c>
      <c r="Q30" s="8">
        <v>79.39</v>
      </c>
      <c r="R30" s="8">
        <v>74.71</v>
      </c>
      <c r="S30" s="8">
        <v>69.27</v>
      </c>
      <c r="T30" s="8">
        <v>64.59</v>
      </c>
      <c r="U30" s="9">
        <v>81.7</v>
      </c>
    </row>
    <row r="31" spans="1:21" ht="12.75">
      <c r="A31" s="1">
        <f t="shared" si="0"/>
        <v>25</v>
      </c>
      <c r="B31" s="4" t="s">
        <v>852</v>
      </c>
      <c r="C31" s="8">
        <v>225.5</v>
      </c>
      <c r="D31" s="8">
        <v>205.1</v>
      </c>
      <c r="E31" s="8">
        <v>165.2</v>
      </c>
      <c r="F31" s="8">
        <v>123.21</v>
      </c>
      <c r="G31" s="8">
        <v>118.53</v>
      </c>
      <c r="H31" s="8">
        <v>100.92</v>
      </c>
      <c r="I31" s="8">
        <v>96.24</v>
      </c>
      <c r="J31" s="8">
        <v>173.2</v>
      </c>
      <c r="K31" s="8">
        <v>149.91</v>
      </c>
      <c r="L31" s="8">
        <v>145.23</v>
      </c>
      <c r="M31" s="8">
        <v>184.7</v>
      </c>
      <c r="N31" s="8">
        <v>119.9</v>
      </c>
      <c r="O31" s="8">
        <v>150.3</v>
      </c>
      <c r="P31" s="8">
        <v>98.53</v>
      </c>
      <c r="Q31" s="8">
        <v>79.39</v>
      </c>
      <c r="R31" s="8">
        <v>74.71</v>
      </c>
      <c r="S31" s="8">
        <v>96.27</v>
      </c>
      <c r="T31" s="8">
        <v>64.59</v>
      </c>
      <c r="U31" s="9">
        <v>81.7</v>
      </c>
    </row>
    <row r="32" spans="1:21" ht="12.75">
      <c r="A32" s="1">
        <f t="shared" si="0"/>
        <v>26</v>
      </c>
      <c r="B32" s="4" t="s">
        <v>853</v>
      </c>
      <c r="C32" s="8">
        <v>225.5</v>
      </c>
      <c r="D32" s="8">
        <v>205.1</v>
      </c>
      <c r="E32" s="8">
        <v>165.2</v>
      </c>
      <c r="F32" s="8">
        <v>123.21</v>
      </c>
      <c r="G32" s="8">
        <v>118.53</v>
      </c>
      <c r="H32" s="8">
        <v>100.92</v>
      </c>
      <c r="I32" s="8">
        <v>96.24</v>
      </c>
      <c r="J32" s="8">
        <v>173.2</v>
      </c>
      <c r="K32" s="8">
        <v>149.91</v>
      </c>
      <c r="L32" s="8">
        <v>145.23</v>
      </c>
      <c r="M32" s="8">
        <v>184.7</v>
      </c>
      <c r="N32" s="8">
        <v>119.9</v>
      </c>
      <c r="O32" s="8">
        <v>150.3</v>
      </c>
      <c r="P32" s="8">
        <v>98.53</v>
      </c>
      <c r="Q32" s="8">
        <v>79.39</v>
      </c>
      <c r="R32" s="8">
        <v>74.71</v>
      </c>
      <c r="S32" s="8">
        <v>99.59</v>
      </c>
      <c r="T32" s="8">
        <v>64.59</v>
      </c>
      <c r="U32" s="9">
        <v>81.7</v>
      </c>
    </row>
    <row r="33" spans="1:21" ht="12.75">
      <c r="A33" s="1">
        <f t="shared" si="0"/>
        <v>27</v>
      </c>
      <c r="B33" s="4" t="s">
        <v>854</v>
      </c>
      <c r="C33" s="8">
        <v>225.5</v>
      </c>
      <c r="D33" s="8">
        <v>205.1</v>
      </c>
      <c r="E33" s="8">
        <v>165.2</v>
      </c>
      <c r="F33" s="8">
        <v>123.21</v>
      </c>
      <c r="G33" s="8">
        <v>118.53</v>
      </c>
      <c r="H33" s="8">
        <v>100.92</v>
      </c>
      <c r="I33" s="8">
        <v>96.24</v>
      </c>
      <c r="J33" s="8">
        <v>173.2</v>
      </c>
      <c r="K33" s="8">
        <v>149.91</v>
      </c>
      <c r="L33" s="8">
        <v>145.23</v>
      </c>
      <c r="M33" s="8">
        <v>184.7</v>
      </c>
      <c r="N33" s="8">
        <v>119.9</v>
      </c>
      <c r="O33" s="8">
        <v>150.3</v>
      </c>
      <c r="P33" s="8">
        <v>98.53</v>
      </c>
      <c r="Q33" s="8">
        <v>79.39</v>
      </c>
      <c r="R33" s="8">
        <v>74.71</v>
      </c>
      <c r="S33" s="8">
        <v>69.27</v>
      </c>
      <c r="T33" s="8">
        <v>64.59</v>
      </c>
      <c r="U33" s="9">
        <v>81.7</v>
      </c>
    </row>
    <row r="34" spans="1:21" ht="12.75">
      <c r="A34" s="1">
        <f t="shared" si="0"/>
        <v>28</v>
      </c>
      <c r="B34" s="4" t="s">
        <v>855</v>
      </c>
      <c r="C34" s="8">
        <v>225.5</v>
      </c>
      <c r="D34" s="8">
        <v>205.1</v>
      </c>
      <c r="E34" s="8">
        <v>163.1</v>
      </c>
      <c r="F34" s="8">
        <v>121.21</v>
      </c>
      <c r="G34" s="8">
        <v>116.53</v>
      </c>
      <c r="H34" s="8">
        <v>99.2</v>
      </c>
      <c r="I34" s="8">
        <v>94.52</v>
      </c>
      <c r="J34" s="8">
        <v>171.1</v>
      </c>
      <c r="K34" s="8">
        <v>147.91</v>
      </c>
      <c r="L34" s="8">
        <v>143.23</v>
      </c>
      <c r="M34" s="8">
        <v>182.5</v>
      </c>
      <c r="N34" s="8">
        <v>117.7</v>
      </c>
      <c r="O34" s="8">
        <v>147.3</v>
      </c>
      <c r="P34" s="8">
        <v>97.03</v>
      </c>
      <c r="Q34" s="8">
        <v>77.89</v>
      </c>
      <c r="R34" s="8">
        <v>73.21</v>
      </c>
      <c r="S34" s="8">
        <v>67.98</v>
      </c>
      <c r="T34" s="8">
        <v>63.3</v>
      </c>
      <c r="U34" s="9">
        <v>79.7</v>
      </c>
    </row>
    <row r="35" spans="1:21" ht="12.75">
      <c r="A35" s="1">
        <f t="shared" si="0"/>
        <v>29</v>
      </c>
      <c r="B35" s="4" t="s">
        <v>856</v>
      </c>
      <c r="C35" s="8">
        <v>225.5</v>
      </c>
      <c r="D35" s="8">
        <v>205.1</v>
      </c>
      <c r="E35" s="8">
        <v>158.4</v>
      </c>
      <c r="F35" s="8">
        <v>116.68</v>
      </c>
      <c r="G35" s="8">
        <v>112</v>
      </c>
      <c r="H35" s="8">
        <v>95.29</v>
      </c>
      <c r="I35" s="8">
        <v>90.61</v>
      </c>
      <c r="J35" s="8">
        <v>166.4</v>
      </c>
      <c r="K35" s="8">
        <v>143.38</v>
      </c>
      <c r="L35" s="8">
        <v>138.7</v>
      </c>
      <c r="M35" s="8">
        <v>177.5</v>
      </c>
      <c r="N35" s="8">
        <v>113</v>
      </c>
      <c r="O35" s="8">
        <v>141.1</v>
      </c>
      <c r="P35" s="8">
        <v>94.13</v>
      </c>
      <c r="Q35" s="8">
        <v>75.02</v>
      </c>
      <c r="R35" s="8">
        <v>70.34</v>
      </c>
      <c r="S35" s="8">
        <v>65.5</v>
      </c>
      <c r="T35" s="8">
        <v>60.82</v>
      </c>
      <c r="U35" s="9">
        <v>79.7</v>
      </c>
    </row>
    <row r="36" spans="1:21" ht="12.75">
      <c r="A36" s="1">
        <f t="shared" si="0"/>
        <v>30</v>
      </c>
      <c r="B36" s="4" t="s">
        <v>857</v>
      </c>
      <c r="C36" s="8">
        <v>224.5</v>
      </c>
      <c r="D36" s="8">
        <v>204.1</v>
      </c>
      <c r="E36" s="8">
        <v>156.2</v>
      </c>
      <c r="F36" s="8">
        <v>114.48</v>
      </c>
      <c r="G36" s="8">
        <v>109.8</v>
      </c>
      <c r="H36" s="8">
        <v>93.39</v>
      </c>
      <c r="I36" s="8">
        <v>88.71</v>
      </c>
      <c r="J36" s="8">
        <v>164.2</v>
      </c>
      <c r="K36" s="8">
        <v>141.18</v>
      </c>
      <c r="L36" s="8">
        <v>136.5</v>
      </c>
      <c r="M36" s="8">
        <v>175.2</v>
      </c>
      <c r="N36" s="8">
        <v>111</v>
      </c>
      <c r="O36" s="8">
        <v>138.7</v>
      </c>
      <c r="P36" s="8">
        <v>92.33</v>
      </c>
      <c r="Q36" s="8">
        <v>73.17</v>
      </c>
      <c r="R36" s="8">
        <v>68.49</v>
      </c>
      <c r="S36" s="8">
        <v>63.91</v>
      </c>
      <c r="T36" s="8">
        <v>59.23</v>
      </c>
      <c r="U36" s="9">
        <v>78.7</v>
      </c>
    </row>
    <row r="37" spans="1:21" ht="12.75">
      <c r="A37" s="1">
        <f t="shared" si="0"/>
        <v>31</v>
      </c>
      <c r="B37" s="4" t="s">
        <v>858</v>
      </c>
      <c r="C37" s="8">
        <v>217.5</v>
      </c>
      <c r="D37" s="8">
        <v>200.1</v>
      </c>
      <c r="E37" s="8">
        <v>148</v>
      </c>
      <c r="F37" s="8">
        <v>106.25</v>
      </c>
      <c r="G37" s="8">
        <v>101.57</v>
      </c>
      <c r="H37" s="8">
        <v>86.3</v>
      </c>
      <c r="I37" s="8">
        <v>81.62</v>
      </c>
      <c r="J37" s="8">
        <v>156</v>
      </c>
      <c r="K37" s="8">
        <v>132.95</v>
      </c>
      <c r="L37" s="8">
        <v>128.27</v>
      </c>
      <c r="M37" s="8">
        <v>167.8</v>
      </c>
      <c r="N37" s="8">
        <v>104.3</v>
      </c>
      <c r="O37" s="8">
        <v>130.8</v>
      </c>
      <c r="P37" s="8">
        <v>85.93</v>
      </c>
      <c r="Q37" s="8">
        <v>66.79</v>
      </c>
      <c r="R37" s="8">
        <v>62.11</v>
      </c>
      <c r="S37" s="8">
        <v>58.41</v>
      </c>
      <c r="T37" s="8">
        <v>53.73</v>
      </c>
      <c r="U37" s="9">
        <v>78.7</v>
      </c>
    </row>
    <row r="38" spans="1:21" ht="12.75">
      <c r="A38" s="1">
        <f t="shared" si="0"/>
        <v>32</v>
      </c>
      <c r="B38" s="4" t="s">
        <v>859</v>
      </c>
      <c r="C38" s="8">
        <v>217.5</v>
      </c>
      <c r="D38" s="8">
        <v>200.1</v>
      </c>
      <c r="E38" s="8">
        <v>148</v>
      </c>
      <c r="F38" s="8">
        <v>106.25</v>
      </c>
      <c r="G38" s="8">
        <v>101.57</v>
      </c>
      <c r="H38" s="8">
        <v>86.3</v>
      </c>
      <c r="I38" s="8">
        <v>81.62</v>
      </c>
      <c r="J38" s="8">
        <v>156</v>
      </c>
      <c r="K38" s="8">
        <v>132.95</v>
      </c>
      <c r="L38" s="8">
        <v>128.27</v>
      </c>
      <c r="M38" s="8">
        <v>167.8</v>
      </c>
      <c r="N38" s="8">
        <v>104.3</v>
      </c>
      <c r="O38" s="8">
        <v>130.8</v>
      </c>
      <c r="P38" s="8">
        <v>85.93</v>
      </c>
      <c r="Q38" s="8">
        <v>66.79</v>
      </c>
      <c r="R38" s="8">
        <v>62.11</v>
      </c>
      <c r="S38" s="8">
        <v>58.41</v>
      </c>
      <c r="T38" s="8">
        <v>53.73</v>
      </c>
      <c r="U38" s="9">
        <v>78.7</v>
      </c>
    </row>
    <row r="39" spans="1:21" ht="12.75">
      <c r="A39" s="1">
        <f t="shared" si="0"/>
        <v>33</v>
      </c>
      <c r="B39" s="4" t="s">
        <v>860</v>
      </c>
      <c r="C39" s="8">
        <v>215.5</v>
      </c>
      <c r="D39" s="8">
        <v>198.1</v>
      </c>
      <c r="E39" s="8">
        <v>145.9</v>
      </c>
      <c r="F39" s="8">
        <v>104.15</v>
      </c>
      <c r="G39" s="8">
        <v>99.47</v>
      </c>
      <c r="H39" s="8">
        <v>84.49</v>
      </c>
      <c r="I39" s="8">
        <v>79.81</v>
      </c>
      <c r="J39" s="8">
        <v>153.9</v>
      </c>
      <c r="K39" s="8">
        <v>130.85</v>
      </c>
      <c r="L39" s="8">
        <v>126.17</v>
      </c>
      <c r="M39" s="8">
        <v>165.8</v>
      </c>
      <c r="N39" s="8">
        <v>102.8</v>
      </c>
      <c r="O39" s="8">
        <v>129.2</v>
      </c>
      <c r="P39" s="8">
        <v>83.41</v>
      </c>
      <c r="Q39" s="8">
        <v>64.27</v>
      </c>
      <c r="R39" s="8">
        <v>59.59</v>
      </c>
      <c r="S39" s="8">
        <v>56.24</v>
      </c>
      <c r="T39" s="8">
        <v>51.56</v>
      </c>
      <c r="U39" s="9">
        <v>77.7</v>
      </c>
    </row>
    <row r="40" spans="1:21" ht="12.75">
      <c r="A40" s="1">
        <f t="shared" si="0"/>
        <v>34</v>
      </c>
      <c r="B40" s="4" t="s">
        <v>861</v>
      </c>
      <c r="C40" s="8">
        <v>213.5</v>
      </c>
      <c r="D40" s="8">
        <v>196</v>
      </c>
      <c r="E40" s="8">
        <v>144.9</v>
      </c>
      <c r="F40" s="8">
        <v>103.15</v>
      </c>
      <c r="G40" s="8">
        <v>98.47</v>
      </c>
      <c r="H40" s="8">
        <v>83.63</v>
      </c>
      <c r="I40" s="8">
        <v>78.95</v>
      </c>
      <c r="J40" s="8">
        <v>152.9</v>
      </c>
      <c r="K40" s="8">
        <v>129.85</v>
      </c>
      <c r="L40" s="8">
        <v>125.17</v>
      </c>
      <c r="M40" s="8">
        <v>164.7</v>
      </c>
      <c r="N40" s="8">
        <v>100.8</v>
      </c>
      <c r="O40" s="8">
        <v>127.1</v>
      </c>
      <c r="P40" s="8">
        <v>81.21</v>
      </c>
      <c r="Q40" s="8">
        <v>62.07</v>
      </c>
      <c r="R40" s="8">
        <v>57.39</v>
      </c>
      <c r="S40" s="8">
        <v>54.34</v>
      </c>
      <c r="T40" s="8">
        <v>49.66</v>
      </c>
      <c r="U40" s="9">
        <v>77.7</v>
      </c>
    </row>
    <row r="41" spans="1:21" ht="12.75">
      <c r="A41" s="1">
        <f t="shared" si="0"/>
        <v>35</v>
      </c>
      <c r="B41" s="4" t="s">
        <v>862</v>
      </c>
      <c r="C41" s="8">
        <v>202.3</v>
      </c>
      <c r="D41" s="8">
        <v>184.4</v>
      </c>
      <c r="E41" s="8">
        <v>140.8</v>
      </c>
      <c r="F41" s="8">
        <v>98.97</v>
      </c>
      <c r="G41" s="8">
        <v>94.29</v>
      </c>
      <c r="H41" s="8">
        <v>80.02</v>
      </c>
      <c r="I41" s="8">
        <v>75.34</v>
      </c>
      <c r="J41" s="8">
        <v>148.9</v>
      </c>
      <c r="K41" s="8">
        <v>125.67</v>
      </c>
      <c r="L41" s="8">
        <v>120.99</v>
      </c>
      <c r="M41" s="8">
        <v>159.9</v>
      </c>
      <c r="N41" s="8">
        <v>95.7</v>
      </c>
      <c r="O41" s="8">
        <v>121.5</v>
      </c>
      <c r="P41" s="8">
        <v>74.51</v>
      </c>
      <c r="Q41" s="8">
        <v>55.34</v>
      </c>
      <c r="R41" s="8">
        <v>50.66</v>
      </c>
      <c r="S41" s="8">
        <v>48.54</v>
      </c>
      <c r="T41" s="8">
        <v>43.86</v>
      </c>
      <c r="U41" s="9">
        <v>76.7</v>
      </c>
    </row>
    <row r="42" spans="1:21" ht="12.75">
      <c r="A42" s="1">
        <f t="shared" si="0"/>
        <v>36</v>
      </c>
      <c r="B42" s="4" t="s">
        <v>863</v>
      </c>
      <c r="C42" s="8">
        <v>197.1</v>
      </c>
      <c r="D42" s="8">
        <v>179.2</v>
      </c>
      <c r="E42" s="8">
        <v>142.9</v>
      </c>
      <c r="F42" s="8">
        <v>101.58</v>
      </c>
      <c r="G42" s="8">
        <v>96.9</v>
      </c>
      <c r="H42" s="8">
        <v>82.27</v>
      </c>
      <c r="I42" s="8">
        <v>77.59</v>
      </c>
      <c r="J42" s="8">
        <v>150.8</v>
      </c>
      <c r="K42" s="8">
        <v>128.28</v>
      </c>
      <c r="L42" s="8">
        <v>123.6</v>
      </c>
      <c r="M42" s="8">
        <v>162.1</v>
      </c>
      <c r="N42" s="8">
        <v>98.4</v>
      </c>
      <c r="O42" s="8">
        <v>123.8</v>
      </c>
      <c r="P42" s="8">
        <v>77.31</v>
      </c>
      <c r="Q42" s="8">
        <v>58.2</v>
      </c>
      <c r="R42" s="8">
        <v>53.52</v>
      </c>
      <c r="S42" s="8">
        <v>51</v>
      </c>
      <c r="T42" s="8">
        <v>46.32</v>
      </c>
      <c r="U42" s="9">
        <v>78.3</v>
      </c>
    </row>
    <row r="43" spans="1:21" ht="12.75">
      <c r="A43" s="1">
        <f t="shared" si="0"/>
        <v>37</v>
      </c>
      <c r="B43" s="4" t="s">
        <v>864</v>
      </c>
      <c r="C43" s="8">
        <v>192.7</v>
      </c>
      <c r="D43" s="8">
        <v>175.1</v>
      </c>
      <c r="E43" s="8">
        <v>144.6</v>
      </c>
      <c r="F43" s="8">
        <v>104.91</v>
      </c>
      <c r="G43" s="8">
        <v>100.23</v>
      </c>
      <c r="H43" s="8">
        <v>85.14</v>
      </c>
      <c r="I43" s="8">
        <v>80.46</v>
      </c>
      <c r="J43" s="8">
        <v>152.2</v>
      </c>
      <c r="K43" s="8">
        <v>131.61</v>
      </c>
      <c r="L43" s="8">
        <v>126.93</v>
      </c>
      <c r="M43" s="8">
        <v>162.7</v>
      </c>
      <c r="N43" s="8">
        <v>101.1</v>
      </c>
      <c r="O43" s="8">
        <v>124.8</v>
      </c>
      <c r="P43" s="8">
        <v>78.97</v>
      </c>
      <c r="Q43" s="8">
        <v>59.83</v>
      </c>
      <c r="R43" s="8">
        <v>55.15</v>
      </c>
      <c r="S43" s="8">
        <v>52.41</v>
      </c>
      <c r="T43" s="8">
        <v>47.73</v>
      </c>
      <c r="U43" s="9">
        <v>80.8</v>
      </c>
    </row>
    <row r="44" spans="1:21" ht="12.75">
      <c r="A44" s="1">
        <f t="shared" si="0"/>
        <v>38</v>
      </c>
      <c r="B44" s="4" t="s">
        <v>865</v>
      </c>
      <c r="C44" s="8">
        <v>190.6</v>
      </c>
      <c r="D44" s="8">
        <v>173</v>
      </c>
      <c r="E44" s="8">
        <v>142.4</v>
      </c>
      <c r="F44" s="8">
        <v>102.65</v>
      </c>
      <c r="G44" s="8">
        <v>97.97</v>
      </c>
      <c r="H44" s="8">
        <v>83.2</v>
      </c>
      <c r="I44" s="8">
        <v>78.52</v>
      </c>
      <c r="J44" s="8">
        <v>150</v>
      </c>
      <c r="K44" s="8">
        <v>129.35</v>
      </c>
      <c r="L44" s="8">
        <v>124.67</v>
      </c>
      <c r="M44" s="8">
        <v>161.4</v>
      </c>
      <c r="N44" s="8">
        <v>99.4</v>
      </c>
      <c r="O44" s="8">
        <v>123</v>
      </c>
      <c r="P44" s="8">
        <v>77.31</v>
      </c>
      <c r="Q44" s="8">
        <v>58.17</v>
      </c>
      <c r="R44" s="8">
        <v>53.49</v>
      </c>
      <c r="S44" s="8">
        <v>50.98</v>
      </c>
      <c r="T44" s="8">
        <v>46.3</v>
      </c>
      <c r="U44" s="9">
        <v>80.8</v>
      </c>
    </row>
    <row r="45" spans="1:21" ht="12.75">
      <c r="A45" s="1">
        <f t="shared" si="0"/>
        <v>39</v>
      </c>
      <c r="B45" s="4" t="s">
        <v>866</v>
      </c>
      <c r="C45" s="8">
        <v>190.6</v>
      </c>
      <c r="D45" s="8">
        <v>173</v>
      </c>
      <c r="E45" s="8">
        <v>142.4</v>
      </c>
      <c r="F45" s="8">
        <v>102.65</v>
      </c>
      <c r="G45" s="8">
        <v>97.97</v>
      </c>
      <c r="H45" s="8">
        <v>83.2</v>
      </c>
      <c r="I45" s="8">
        <v>78.52</v>
      </c>
      <c r="J45" s="8">
        <v>150</v>
      </c>
      <c r="K45" s="8">
        <v>129.35</v>
      </c>
      <c r="L45" s="8">
        <v>124.67</v>
      </c>
      <c r="M45" s="8">
        <v>161.4</v>
      </c>
      <c r="N45" s="8">
        <v>99.4</v>
      </c>
      <c r="O45" s="8">
        <v>123</v>
      </c>
      <c r="P45" s="8">
        <v>77.31</v>
      </c>
      <c r="Q45" s="8">
        <v>58.17</v>
      </c>
      <c r="R45" s="8">
        <v>53.43</v>
      </c>
      <c r="S45" s="8">
        <v>50.98</v>
      </c>
      <c r="T45" s="8">
        <v>46.3</v>
      </c>
      <c r="U45" s="9">
        <v>80.8</v>
      </c>
    </row>
    <row r="46" spans="1:21" ht="12.75">
      <c r="A46" s="1">
        <f t="shared" si="0"/>
        <v>40</v>
      </c>
      <c r="B46" s="4" t="s">
        <v>867</v>
      </c>
      <c r="C46" s="8">
        <v>193.3</v>
      </c>
      <c r="D46" s="8">
        <v>175.6</v>
      </c>
      <c r="E46" s="8">
        <v>142.4</v>
      </c>
      <c r="F46" s="8">
        <v>102.65</v>
      </c>
      <c r="G46" s="8">
        <v>97.97</v>
      </c>
      <c r="H46" s="8">
        <v>83.2</v>
      </c>
      <c r="I46" s="8">
        <v>78.52</v>
      </c>
      <c r="J46" s="8">
        <v>0</v>
      </c>
      <c r="K46" s="8">
        <v>0</v>
      </c>
      <c r="L46" s="8">
        <v>0</v>
      </c>
      <c r="M46" s="8">
        <v>152.1</v>
      </c>
      <c r="N46" s="8">
        <v>99.4</v>
      </c>
      <c r="O46" s="8">
        <v>123</v>
      </c>
      <c r="P46" s="8">
        <v>77.31</v>
      </c>
      <c r="Q46" s="8">
        <v>58.17</v>
      </c>
      <c r="R46" s="8">
        <v>53.49</v>
      </c>
      <c r="S46" s="8">
        <v>50.98</v>
      </c>
      <c r="T46" s="8">
        <v>46.3</v>
      </c>
      <c r="U46" s="9">
        <v>80.8</v>
      </c>
    </row>
    <row r="47" spans="1:21" ht="12.75">
      <c r="A47" s="1">
        <f t="shared" si="0"/>
        <v>41</v>
      </c>
      <c r="B47" s="4" t="s">
        <v>868</v>
      </c>
      <c r="C47" s="8">
        <v>193.3</v>
      </c>
      <c r="D47" s="8">
        <v>175.6</v>
      </c>
      <c r="E47" s="8">
        <v>144</v>
      </c>
      <c r="F47" s="8">
        <v>104.2</v>
      </c>
      <c r="G47" s="8">
        <v>99.52</v>
      </c>
      <c r="H47" s="8">
        <v>84.53</v>
      </c>
      <c r="I47" s="8">
        <v>79.85</v>
      </c>
      <c r="J47" s="8">
        <v>0</v>
      </c>
      <c r="K47" s="8">
        <v>0</v>
      </c>
      <c r="L47" s="8">
        <v>0</v>
      </c>
      <c r="M47" s="8">
        <v>153.2</v>
      </c>
      <c r="N47" s="8">
        <v>100.4</v>
      </c>
      <c r="O47" s="8">
        <v>124</v>
      </c>
      <c r="P47" s="8">
        <v>78.31</v>
      </c>
      <c r="Q47" s="8">
        <v>59.17</v>
      </c>
      <c r="R47" s="8">
        <v>54.49</v>
      </c>
      <c r="S47" s="8">
        <v>54.84</v>
      </c>
      <c r="T47" s="8">
        <v>47.16</v>
      </c>
      <c r="U47" s="9">
        <v>83.2</v>
      </c>
    </row>
    <row r="48" spans="1:21" ht="12.75">
      <c r="A48" s="1">
        <f t="shared" si="0"/>
        <v>42</v>
      </c>
      <c r="B48" s="4" t="s">
        <v>869</v>
      </c>
      <c r="C48" s="8">
        <v>191.2</v>
      </c>
      <c r="D48" s="8">
        <v>173.5</v>
      </c>
      <c r="E48" s="8">
        <v>144</v>
      </c>
      <c r="F48" s="8">
        <v>104.2</v>
      </c>
      <c r="G48" s="8">
        <v>99.52</v>
      </c>
      <c r="H48" s="8">
        <v>84.53</v>
      </c>
      <c r="I48" s="8">
        <v>79.85</v>
      </c>
      <c r="J48" s="8">
        <v>0</v>
      </c>
      <c r="K48" s="8">
        <v>0</v>
      </c>
      <c r="L48" s="8">
        <v>0</v>
      </c>
      <c r="M48" s="8">
        <v>153.2</v>
      </c>
      <c r="N48" s="8">
        <v>100.4</v>
      </c>
      <c r="O48" s="8">
        <v>124</v>
      </c>
      <c r="P48" s="8">
        <v>78.31</v>
      </c>
      <c r="Q48" s="8">
        <v>59.17</v>
      </c>
      <c r="R48" s="8">
        <v>54.49</v>
      </c>
      <c r="S48" s="8">
        <v>51.84</v>
      </c>
      <c r="T48" s="8">
        <v>47.16</v>
      </c>
      <c r="U48" s="9">
        <v>83.2</v>
      </c>
    </row>
    <row r="49" spans="1:21" ht="12.75">
      <c r="A49" s="1">
        <f t="shared" si="0"/>
        <v>43</v>
      </c>
      <c r="B49" s="4" t="s">
        <v>870</v>
      </c>
      <c r="C49" s="8">
        <v>188.7</v>
      </c>
      <c r="D49" s="8">
        <v>171.1</v>
      </c>
      <c r="E49" s="8">
        <v>142.3</v>
      </c>
      <c r="F49" s="8">
        <v>102.52</v>
      </c>
      <c r="G49" s="8">
        <v>97.84</v>
      </c>
      <c r="H49" s="8">
        <v>83.08</v>
      </c>
      <c r="I49" s="8">
        <v>78.4</v>
      </c>
      <c r="J49" s="8">
        <v>0</v>
      </c>
      <c r="K49" s="8">
        <v>0</v>
      </c>
      <c r="L49" s="8">
        <v>0</v>
      </c>
      <c r="M49" s="8">
        <v>151.3</v>
      </c>
      <c r="N49" s="8">
        <v>99.2</v>
      </c>
      <c r="O49" s="8">
        <v>122.7</v>
      </c>
      <c r="P49" s="8">
        <v>77.51</v>
      </c>
      <c r="Q49" s="8">
        <v>58.37</v>
      </c>
      <c r="R49" s="8">
        <v>53.69</v>
      </c>
      <c r="S49" s="8">
        <v>51.15</v>
      </c>
      <c r="T49" s="8">
        <v>48.47</v>
      </c>
      <c r="U49" s="9">
        <v>82</v>
      </c>
    </row>
    <row r="50" spans="1:21" ht="12.75">
      <c r="A50" s="1">
        <f t="shared" si="0"/>
        <v>44</v>
      </c>
      <c r="B50" s="4" t="s">
        <v>884</v>
      </c>
      <c r="C50" s="8">
        <v>188.7</v>
      </c>
      <c r="D50" s="8">
        <v>171.1</v>
      </c>
      <c r="E50" s="8">
        <v>142.3</v>
      </c>
      <c r="F50" s="8">
        <v>102.52</v>
      </c>
      <c r="G50" s="8">
        <v>97.84</v>
      </c>
      <c r="H50" s="8">
        <v>83.08</v>
      </c>
      <c r="I50" s="8">
        <v>78.4</v>
      </c>
      <c r="J50" s="8">
        <v>0</v>
      </c>
      <c r="K50" s="8">
        <v>0</v>
      </c>
      <c r="L50" s="8">
        <v>0</v>
      </c>
      <c r="M50" s="8">
        <v>151.3</v>
      </c>
      <c r="N50" s="8">
        <v>99.2</v>
      </c>
      <c r="O50" s="8">
        <v>122.7</v>
      </c>
      <c r="P50" s="8">
        <v>77.51</v>
      </c>
      <c r="Q50" s="8">
        <v>58.37</v>
      </c>
      <c r="R50" s="8">
        <v>53.69</v>
      </c>
      <c r="S50" s="8">
        <v>51.15</v>
      </c>
      <c r="T50" s="8">
        <v>46.47</v>
      </c>
      <c r="U50" s="9">
        <v>82</v>
      </c>
    </row>
    <row r="51" spans="1:21" ht="12.75">
      <c r="A51" s="1">
        <f t="shared" si="0"/>
        <v>45</v>
      </c>
      <c r="B51" s="4" t="s">
        <v>872</v>
      </c>
      <c r="C51" s="8">
        <v>191.2</v>
      </c>
      <c r="D51" s="8">
        <v>173.7</v>
      </c>
      <c r="E51" s="8">
        <v>144.9</v>
      </c>
      <c r="F51" s="8">
        <v>104.94</v>
      </c>
      <c r="G51" s="8">
        <v>100.26</v>
      </c>
      <c r="H51" s="8">
        <v>85.17</v>
      </c>
      <c r="I51" s="8">
        <v>80.49</v>
      </c>
      <c r="J51" s="8">
        <v>0</v>
      </c>
      <c r="K51" s="8">
        <v>0</v>
      </c>
      <c r="L51" s="8">
        <v>0</v>
      </c>
      <c r="M51" s="8">
        <v>153.4</v>
      </c>
      <c r="N51" s="8">
        <v>101.7</v>
      </c>
      <c r="O51" s="8">
        <v>125.5</v>
      </c>
      <c r="P51" s="8">
        <v>77.51</v>
      </c>
      <c r="Q51" s="8">
        <v>58.37</v>
      </c>
      <c r="R51" s="8">
        <v>53.89</v>
      </c>
      <c r="S51" s="8">
        <v>51.15</v>
      </c>
      <c r="T51" s="8">
        <v>48.47</v>
      </c>
      <c r="U51" s="9">
        <v>83</v>
      </c>
    </row>
    <row r="52" spans="1:21" ht="12.75">
      <c r="A52" s="1">
        <f t="shared" si="0"/>
        <v>46</v>
      </c>
      <c r="B52" s="4" t="s">
        <v>873</v>
      </c>
      <c r="C52" s="8">
        <v>191.2</v>
      </c>
      <c r="D52" s="8">
        <v>173.7</v>
      </c>
      <c r="E52" s="8">
        <v>144.9</v>
      </c>
      <c r="F52" s="8">
        <v>104.94</v>
      </c>
      <c r="G52" s="8">
        <v>100.26</v>
      </c>
      <c r="H52" s="8">
        <v>85.17</v>
      </c>
      <c r="I52" s="8">
        <v>80.49</v>
      </c>
      <c r="J52" s="8">
        <v>0</v>
      </c>
      <c r="K52" s="8">
        <v>0</v>
      </c>
      <c r="L52" s="8">
        <v>0</v>
      </c>
      <c r="M52" s="8">
        <v>153.4</v>
      </c>
      <c r="N52" s="8">
        <v>101.7</v>
      </c>
      <c r="O52" s="8">
        <v>125.5</v>
      </c>
      <c r="P52" s="8">
        <v>77.51</v>
      </c>
      <c r="Q52" s="8">
        <v>58.37</v>
      </c>
      <c r="R52" s="8">
        <v>53.89</v>
      </c>
      <c r="S52" s="8">
        <v>51.15</v>
      </c>
      <c r="T52" s="8">
        <v>48.47</v>
      </c>
      <c r="U52" s="9">
        <v>83</v>
      </c>
    </row>
    <row r="53" spans="1:21" ht="12.75">
      <c r="A53" s="1">
        <f t="shared" si="0"/>
        <v>47</v>
      </c>
      <c r="B53" s="4" t="s">
        <v>874</v>
      </c>
      <c r="C53" s="8">
        <v>187.1</v>
      </c>
      <c r="D53" s="8">
        <v>169.6</v>
      </c>
      <c r="E53" s="8">
        <v>140.4</v>
      </c>
      <c r="F53" s="8">
        <v>100.42</v>
      </c>
      <c r="G53" s="8">
        <v>95.74</v>
      </c>
      <c r="H53" s="8">
        <v>81.02</v>
      </c>
      <c r="I53" s="8">
        <v>76.34</v>
      </c>
      <c r="J53" s="8">
        <v>0</v>
      </c>
      <c r="K53" s="8">
        <v>0</v>
      </c>
      <c r="L53" s="8">
        <v>0</v>
      </c>
      <c r="M53" s="8">
        <v>149.5</v>
      </c>
      <c r="N53" s="8">
        <v>98.2</v>
      </c>
      <c r="O53" s="8">
        <v>121.8</v>
      </c>
      <c r="P53" s="8">
        <v>74.65</v>
      </c>
      <c r="Q53" s="8">
        <v>55.42</v>
      </c>
      <c r="R53" s="8">
        <v>50.74</v>
      </c>
      <c r="S53" s="8">
        <v>48.61</v>
      </c>
      <c r="T53" s="8">
        <v>43.93</v>
      </c>
      <c r="U53" s="9">
        <v>82</v>
      </c>
    </row>
    <row r="54" spans="1:21" ht="12.75">
      <c r="A54" s="1">
        <f t="shared" si="0"/>
        <v>48</v>
      </c>
      <c r="B54" s="4" t="s">
        <v>875</v>
      </c>
      <c r="C54" s="8">
        <v>185.4</v>
      </c>
      <c r="D54" s="8">
        <v>167.9</v>
      </c>
      <c r="E54" s="8">
        <v>136.4</v>
      </c>
      <c r="F54" s="8">
        <v>96.48</v>
      </c>
      <c r="G54" s="8">
        <v>91.8</v>
      </c>
      <c r="H54" s="8">
        <v>77.63</v>
      </c>
      <c r="I54" s="8">
        <v>72.95</v>
      </c>
      <c r="J54" s="8">
        <v>0</v>
      </c>
      <c r="K54" s="8">
        <v>0</v>
      </c>
      <c r="L54" s="8">
        <v>0</v>
      </c>
      <c r="M54" s="8">
        <v>148</v>
      </c>
      <c r="N54" s="8">
        <v>96.6</v>
      </c>
      <c r="O54" s="8">
        <v>120.1</v>
      </c>
      <c r="P54" s="8">
        <v>72.94</v>
      </c>
      <c r="Q54" s="8">
        <v>53.66</v>
      </c>
      <c r="R54" s="8">
        <v>48.98</v>
      </c>
      <c r="S54" s="8">
        <v>47.09</v>
      </c>
      <c r="T54" s="8">
        <v>42.41</v>
      </c>
      <c r="U54" s="9">
        <v>81</v>
      </c>
    </row>
    <row r="55" spans="1:21" ht="12.75">
      <c r="A55" s="1">
        <f t="shared" si="0"/>
        <v>49</v>
      </c>
      <c r="B55" s="4" t="s">
        <v>876</v>
      </c>
      <c r="C55" s="8">
        <v>185.4</v>
      </c>
      <c r="D55" s="8">
        <v>167.9</v>
      </c>
      <c r="E55" s="8">
        <v>133.4</v>
      </c>
      <c r="F55" s="8">
        <v>93.57</v>
      </c>
      <c r="G55" s="8">
        <v>88.89</v>
      </c>
      <c r="H55" s="8">
        <v>75.12</v>
      </c>
      <c r="I55" s="8">
        <v>70.44</v>
      </c>
      <c r="J55" s="8">
        <v>0</v>
      </c>
      <c r="K55" s="8">
        <v>0</v>
      </c>
      <c r="L55" s="8">
        <v>0</v>
      </c>
      <c r="M55" s="8">
        <v>146.2</v>
      </c>
      <c r="N55" s="8">
        <v>95</v>
      </c>
      <c r="O55" s="8">
        <v>118.4</v>
      </c>
      <c r="P55" s="8">
        <v>71.48</v>
      </c>
      <c r="Q55" s="8">
        <v>52.19</v>
      </c>
      <c r="R55" s="8">
        <v>47.51</v>
      </c>
      <c r="S55" s="8">
        <v>45.82</v>
      </c>
      <c r="T55" s="8">
        <v>41.14</v>
      </c>
      <c r="U55" s="9">
        <v>81</v>
      </c>
    </row>
    <row r="56" spans="1:21" ht="12.75">
      <c r="A56" s="1">
        <f t="shared" si="0"/>
        <v>50</v>
      </c>
      <c r="B56" s="4" t="s">
        <v>877</v>
      </c>
      <c r="C56" s="8">
        <v>184.4</v>
      </c>
      <c r="D56" s="8">
        <v>166.9</v>
      </c>
      <c r="E56" s="8">
        <v>129.2</v>
      </c>
      <c r="F56" s="8">
        <v>89.06</v>
      </c>
      <c r="G56" s="8">
        <v>84.38</v>
      </c>
      <c r="H56" s="8">
        <v>71.23</v>
      </c>
      <c r="I56" s="8">
        <v>66.55</v>
      </c>
      <c r="J56" s="8">
        <v>0</v>
      </c>
      <c r="K56" s="8">
        <v>0</v>
      </c>
      <c r="L56" s="8">
        <v>0</v>
      </c>
      <c r="M56" s="8">
        <v>140.9</v>
      </c>
      <c r="N56" s="8">
        <v>91.5</v>
      </c>
      <c r="O56" s="8">
        <v>114.7</v>
      </c>
      <c r="P56" s="8">
        <v>65.42</v>
      </c>
      <c r="Q56" s="8">
        <v>46.1</v>
      </c>
      <c r="R56" s="8">
        <v>41.42</v>
      </c>
      <c r="S56" s="8">
        <v>40.57</v>
      </c>
      <c r="T56" s="8">
        <v>35.89</v>
      </c>
      <c r="U56" s="9">
        <v>81</v>
      </c>
    </row>
    <row r="57" spans="1:21" ht="12.75">
      <c r="A57" s="1">
        <f t="shared" si="0"/>
        <v>51</v>
      </c>
      <c r="B57" s="4" t="s">
        <v>878</v>
      </c>
      <c r="C57" s="8">
        <v>182.4</v>
      </c>
      <c r="D57" s="8">
        <v>164.9</v>
      </c>
      <c r="E57" s="8">
        <v>124.9</v>
      </c>
      <c r="F57" s="8">
        <v>84.72</v>
      </c>
      <c r="G57" s="8">
        <v>80.04</v>
      </c>
      <c r="H57" s="8">
        <v>67.49</v>
      </c>
      <c r="I57" s="8">
        <v>62.81</v>
      </c>
      <c r="J57" s="8">
        <v>0</v>
      </c>
      <c r="K57" s="8">
        <v>0</v>
      </c>
      <c r="L57" s="8">
        <v>0</v>
      </c>
      <c r="M57" s="8">
        <v>136.5</v>
      </c>
      <c r="N57" s="8">
        <v>87.1</v>
      </c>
      <c r="O57" s="8">
        <v>109.9</v>
      </c>
      <c r="P57" s="8">
        <v>63.67</v>
      </c>
      <c r="Q57" s="8">
        <v>44.36</v>
      </c>
      <c r="R57" s="8">
        <v>39.68</v>
      </c>
      <c r="S57" s="8">
        <v>39.07</v>
      </c>
      <c r="T57" s="8">
        <v>34.39</v>
      </c>
      <c r="U57" s="9">
        <v>80</v>
      </c>
    </row>
    <row r="58" spans="1:21" ht="12.75">
      <c r="A58" s="1">
        <f t="shared" si="0"/>
        <v>52</v>
      </c>
      <c r="B58" s="4" t="s">
        <v>879</v>
      </c>
      <c r="C58" s="8">
        <v>180.4</v>
      </c>
      <c r="D58" s="8">
        <v>162.9</v>
      </c>
      <c r="E58" s="8">
        <v>123.5</v>
      </c>
      <c r="F58" s="8">
        <v>83.31</v>
      </c>
      <c r="G58" s="8">
        <v>78.63</v>
      </c>
      <c r="H58" s="8">
        <v>66.27</v>
      </c>
      <c r="I58" s="8">
        <v>61.59</v>
      </c>
      <c r="J58" s="8">
        <v>0</v>
      </c>
      <c r="K58" s="8">
        <v>0</v>
      </c>
      <c r="L58" s="8">
        <v>0</v>
      </c>
      <c r="M58" s="8">
        <v>134.4</v>
      </c>
      <c r="N58" s="8">
        <v>84.6</v>
      </c>
      <c r="O58" s="8">
        <v>107.2</v>
      </c>
      <c r="P58" s="8">
        <v>61.84</v>
      </c>
      <c r="Q58" s="8">
        <v>42.52</v>
      </c>
      <c r="R58" s="8">
        <v>37.84</v>
      </c>
      <c r="S58" s="8">
        <v>37.49</v>
      </c>
      <c r="T58" s="8">
        <v>32.81</v>
      </c>
      <c r="U58" s="12">
        <v>78.8</v>
      </c>
    </row>
    <row r="59" spans="2:21" ht="13.5" thickBot="1">
      <c r="B59" s="2" t="s">
        <v>65</v>
      </c>
      <c r="C59" s="16">
        <f>SUM(C7:C58)/52</f>
        <v>205.95961538461538</v>
      </c>
      <c r="D59" s="16">
        <f aca="true" t="shared" si="1" ref="D59:U59">SUM(D7:D58)/52</f>
        <v>185.69423076923084</v>
      </c>
      <c r="E59" s="16">
        <f t="shared" si="1"/>
        <v>151.57307692307683</v>
      </c>
      <c r="F59" s="16">
        <f t="shared" si="1"/>
        <v>110.32269230769226</v>
      </c>
      <c r="G59" s="16">
        <f t="shared" si="1"/>
        <v>105.64250000000007</v>
      </c>
      <c r="H59" s="16">
        <f t="shared" si="1"/>
        <v>89.78076923076922</v>
      </c>
      <c r="I59" s="16">
        <f t="shared" si="1"/>
        <v>85.1007692307692</v>
      </c>
      <c r="J59" s="16">
        <f>SUM(J7:J58)/39</f>
        <v>164.14102564102558</v>
      </c>
      <c r="K59" s="16">
        <f>SUM(K7:K58)/39</f>
        <v>141.1420512820513</v>
      </c>
      <c r="L59" s="16">
        <f>SUM(L7:L58)/39</f>
        <v>136.45692307692312</v>
      </c>
      <c r="M59" s="16">
        <f t="shared" si="1"/>
        <v>168.20961538461535</v>
      </c>
      <c r="N59" s="16">
        <f t="shared" si="1"/>
        <v>106.48461538461537</v>
      </c>
      <c r="O59" s="16">
        <f t="shared" si="1"/>
        <v>134.7846153846154</v>
      </c>
      <c r="P59" s="16">
        <f t="shared" si="1"/>
        <v>86.72346153846155</v>
      </c>
      <c r="Q59" s="16">
        <f t="shared" si="1"/>
        <v>67.59000000000002</v>
      </c>
      <c r="R59" s="16">
        <f t="shared" si="1"/>
        <v>62.91711538461536</v>
      </c>
      <c r="S59" s="16">
        <f t="shared" si="1"/>
        <v>60.25942307692309</v>
      </c>
      <c r="T59" s="16">
        <f t="shared" si="1"/>
        <v>54.53480769230766</v>
      </c>
      <c r="U59" s="16">
        <f t="shared" si="1"/>
        <v>83.04999999999998</v>
      </c>
    </row>
    <row r="60" ht="13.5" thickTop="1"/>
    <row r="61" spans="2:21" ht="12.75">
      <c r="B61" s="99" t="s">
        <v>880</v>
      </c>
      <c r="U61" s="110"/>
    </row>
    <row r="62" ht="12.75">
      <c r="B62" s="98" t="s">
        <v>885</v>
      </c>
    </row>
    <row r="63" ht="12.75">
      <c r="B63" s="98" t="s">
        <v>886</v>
      </c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2"/>
  <sheetViews>
    <sheetView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R2"/>
    </sheetView>
  </sheetViews>
  <sheetFormatPr defaultColWidth="11.421875" defaultRowHeight="12.75"/>
  <cols>
    <col min="1" max="1" width="2.7109375" style="0" customWidth="1"/>
    <col min="2" max="2" width="31.8515625" style="0" customWidth="1"/>
    <col min="3" max="4" width="9.00390625" style="0" bestFit="1" customWidth="1"/>
    <col min="5" max="5" width="8.57421875" style="0" bestFit="1" customWidth="1"/>
    <col min="6" max="6" width="10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8.28125" style="0" customWidth="1"/>
    <col min="15" max="15" width="8.140625" style="0" customWidth="1"/>
    <col min="16" max="16" width="7.7109375" style="0" customWidth="1"/>
    <col min="17" max="17" width="8.7109375" style="0" customWidth="1"/>
    <col min="18" max="18" width="6.57421875" style="96" bestFit="1" customWidth="1"/>
  </cols>
  <sheetData>
    <row r="1" spans="1:18" ht="18">
      <c r="A1" s="143" t="s">
        <v>289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>
      <c r="A2" s="148" t="s">
        <v>951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2.75">
      <c r="A3" s="144" t="s">
        <v>893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12.75">
      <c r="B4" s="123" t="s">
        <v>887</v>
      </c>
      <c r="C4" s="145" t="s">
        <v>16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2:18" ht="56.25">
      <c r="B5" s="124" t="s">
        <v>919</v>
      </c>
      <c r="C5" s="124" t="s">
        <v>0</v>
      </c>
      <c r="D5" s="124" t="s">
        <v>1</v>
      </c>
      <c r="E5" s="124" t="s">
        <v>2</v>
      </c>
      <c r="F5" s="124" t="s">
        <v>291</v>
      </c>
      <c r="G5" s="124" t="s">
        <v>292</v>
      </c>
      <c r="H5" s="124" t="s">
        <v>5</v>
      </c>
      <c r="I5" s="124" t="s">
        <v>6</v>
      </c>
      <c r="J5" s="124" t="s">
        <v>695</v>
      </c>
      <c r="K5" s="124" t="s">
        <v>10</v>
      </c>
      <c r="L5" s="124" t="s">
        <v>19</v>
      </c>
      <c r="M5" s="124" t="s">
        <v>296</v>
      </c>
      <c r="N5" s="124" t="s">
        <v>12</v>
      </c>
      <c r="O5" s="124" t="s">
        <v>13</v>
      </c>
      <c r="P5" s="124" t="s">
        <v>297</v>
      </c>
      <c r="Q5" s="124" t="s">
        <v>15</v>
      </c>
      <c r="R5" s="125" t="s">
        <v>75</v>
      </c>
    </row>
    <row r="6" spans="1:18" ht="12.75">
      <c r="A6" s="100">
        <v>1</v>
      </c>
      <c r="B6" s="4" t="s">
        <v>894</v>
      </c>
      <c r="C6" s="8">
        <v>180.4</v>
      </c>
      <c r="D6" s="8">
        <v>162.9</v>
      </c>
      <c r="E6" s="8">
        <v>123.5</v>
      </c>
      <c r="F6" s="8">
        <v>83.31</v>
      </c>
      <c r="G6" s="8">
        <v>78.63</v>
      </c>
      <c r="H6" s="8">
        <v>66.27</v>
      </c>
      <c r="I6" s="8">
        <v>61.59</v>
      </c>
      <c r="J6" s="8">
        <v>134.4</v>
      </c>
      <c r="K6" s="8">
        <v>84.6</v>
      </c>
      <c r="L6" s="8">
        <v>107.2</v>
      </c>
      <c r="M6" s="8">
        <v>61.84</v>
      </c>
      <c r="N6" s="8">
        <v>42.52</v>
      </c>
      <c r="O6" s="8">
        <v>37.84</v>
      </c>
      <c r="P6" s="8">
        <v>37.49</v>
      </c>
      <c r="Q6" s="8">
        <v>32.81</v>
      </c>
      <c r="R6" s="6">
        <v>78.8</v>
      </c>
    </row>
    <row r="7" spans="1:18" ht="12.75">
      <c r="A7" s="100">
        <f>A6+1</f>
        <v>2</v>
      </c>
      <c r="B7" s="4" t="s">
        <v>895</v>
      </c>
      <c r="C7" s="8">
        <v>180.4</v>
      </c>
      <c r="D7" s="8">
        <v>162.9</v>
      </c>
      <c r="E7" s="8">
        <v>123.5</v>
      </c>
      <c r="F7" s="8">
        <v>83.31</v>
      </c>
      <c r="G7" s="8">
        <v>78.63</v>
      </c>
      <c r="H7" s="8">
        <v>66.27</v>
      </c>
      <c r="I7" s="8">
        <v>61.59</v>
      </c>
      <c r="J7" s="8">
        <v>134.4</v>
      </c>
      <c r="K7" s="8">
        <v>84.6</v>
      </c>
      <c r="L7" s="8">
        <v>107.2</v>
      </c>
      <c r="M7" s="8">
        <v>61.84</v>
      </c>
      <c r="N7" s="8">
        <v>42.52</v>
      </c>
      <c r="O7" s="8">
        <v>37.84</v>
      </c>
      <c r="P7" s="8">
        <v>37.49</v>
      </c>
      <c r="Q7" s="8">
        <v>32.81</v>
      </c>
      <c r="R7" s="9">
        <v>78.8</v>
      </c>
    </row>
    <row r="8" spans="1:18" ht="12.75">
      <c r="A8" s="100">
        <f>A7+1</f>
        <v>3</v>
      </c>
      <c r="B8" s="4" t="s">
        <v>896</v>
      </c>
      <c r="C8" s="8">
        <v>177</v>
      </c>
      <c r="D8" s="8">
        <v>159.6</v>
      </c>
      <c r="E8" s="8">
        <v>119</v>
      </c>
      <c r="F8" s="8">
        <v>78.69</v>
      </c>
      <c r="G8" s="8">
        <v>74.01</v>
      </c>
      <c r="H8" s="8">
        <v>62.29</v>
      </c>
      <c r="I8" s="8">
        <v>57.61</v>
      </c>
      <c r="J8" s="8">
        <v>129.4</v>
      </c>
      <c r="K8" s="8">
        <v>77.8</v>
      </c>
      <c r="L8" s="8">
        <v>99.9</v>
      </c>
      <c r="M8" s="8">
        <v>56.74</v>
      </c>
      <c r="N8" s="8">
        <v>37.42</v>
      </c>
      <c r="O8" s="8">
        <v>32.74</v>
      </c>
      <c r="P8" s="8">
        <v>33.09</v>
      </c>
      <c r="Q8" s="8">
        <v>28.41</v>
      </c>
      <c r="R8" s="9">
        <v>78.8</v>
      </c>
    </row>
    <row r="9" spans="1:18" ht="12.75">
      <c r="A9" s="100">
        <f aca="true" t="shared" si="0" ref="A9:A57">A8+1</f>
        <v>4</v>
      </c>
      <c r="B9" s="4" t="s">
        <v>897</v>
      </c>
      <c r="C9" s="8">
        <v>173.7</v>
      </c>
      <c r="D9" s="8">
        <v>156.4</v>
      </c>
      <c r="E9" s="8">
        <v>115.2</v>
      </c>
      <c r="F9" s="8">
        <v>74.83</v>
      </c>
      <c r="G9" s="8">
        <v>70.15</v>
      </c>
      <c r="H9" s="8">
        <v>58.96</v>
      </c>
      <c r="I9" s="8">
        <v>54.28</v>
      </c>
      <c r="J9" s="8">
        <v>125.3</v>
      </c>
      <c r="K9" s="8">
        <v>74.4</v>
      </c>
      <c r="L9" s="8">
        <v>96.3</v>
      </c>
      <c r="M9" s="8">
        <v>55.01</v>
      </c>
      <c r="N9" s="8">
        <v>35.68</v>
      </c>
      <c r="O9" s="8">
        <v>31</v>
      </c>
      <c r="P9" s="8">
        <v>31.59</v>
      </c>
      <c r="Q9" s="8">
        <v>26.91</v>
      </c>
      <c r="R9" s="9">
        <v>77.8</v>
      </c>
    </row>
    <row r="10" spans="1:18" ht="12.75">
      <c r="A10" s="100">
        <f t="shared" si="0"/>
        <v>5</v>
      </c>
      <c r="B10" s="4" t="s">
        <v>898</v>
      </c>
      <c r="C10" s="8">
        <v>175.3</v>
      </c>
      <c r="D10" s="8">
        <v>157.5</v>
      </c>
      <c r="E10" s="8">
        <v>117</v>
      </c>
      <c r="F10" s="8">
        <v>76.51</v>
      </c>
      <c r="G10" s="8">
        <v>71.83</v>
      </c>
      <c r="H10" s="8">
        <v>60.4</v>
      </c>
      <c r="I10" s="8">
        <v>55.73</v>
      </c>
      <c r="J10" s="8">
        <v>127.4</v>
      </c>
      <c r="K10" s="8">
        <v>76.1</v>
      </c>
      <c r="L10" s="8">
        <v>98.3</v>
      </c>
      <c r="M10" s="8">
        <v>57.73</v>
      </c>
      <c r="N10" s="8">
        <v>38.41</v>
      </c>
      <c r="O10" s="8">
        <v>33.73</v>
      </c>
      <c r="P10" s="8">
        <v>33.94</v>
      </c>
      <c r="Q10" s="8">
        <v>29.26</v>
      </c>
      <c r="R10" s="9">
        <v>78.5</v>
      </c>
    </row>
    <row r="11" spans="1:18" ht="12.75">
      <c r="A11" s="100">
        <f t="shared" si="0"/>
        <v>6</v>
      </c>
      <c r="B11" s="4" t="s">
        <v>899</v>
      </c>
      <c r="C11" s="8">
        <v>175.3</v>
      </c>
      <c r="D11" s="8">
        <v>157.5</v>
      </c>
      <c r="E11" s="8">
        <v>117</v>
      </c>
      <c r="F11" s="8">
        <v>76.51</v>
      </c>
      <c r="G11" s="8">
        <v>71.83</v>
      </c>
      <c r="H11" s="8">
        <v>60.41</v>
      </c>
      <c r="I11" s="8">
        <v>55.73</v>
      </c>
      <c r="J11" s="8">
        <v>127.4</v>
      </c>
      <c r="K11" s="8">
        <v>76.1</v>
      </c>
      <c r="L11" s="8">
        <v>98.3</v>
      </c>
      <c r="M11" s="8">
        <v>57.73</v>
      </c>
      <c r="N11" s="8">
        <v>38.41</v>
      </c>
      <c r="O11" s="8">
        <v>33.73</v>
      </c>
      <c r="P11" s="8">
        <v>33.94</v>
      </c>
      <c r="Q11" s="8">
        <v>29.26</v>
      </c>
      <c r="R11" s="9">
        <v>78.5</v>
      </c>
    </row>
    <row r="12" spans="1:18" ht="12.75">
      <c r="A12" s="100">
        <f t="shared" si="0"/>
        <v>7</v>
      </c>
      <c r="B12" s="4" t="s">
        <v>900</v>
      </c>
      <c r="C12" s="8">
        <v>175.3</v>
      </c>
      <c r="D12" s="8">
        <v>157.5</v>
      </c>
      <c r="E12" s="8">
        <v>117</v>
      </c>
      <c r="F12" s="8">
        <v>76.51</v>
      </c>
      <c r="G12" s="8">
        <v>71.83</v>
      </c>
      <c r="H12" s="8">
        <v>60.41</v>
      </c>
      <c r="I12" s="8">
        <v>55.73</v>
      </c>
      <c r="J12" s="8">
        <v>127.4</v>
      </c>
      <c r="K12" s="8">
        <v>76.1</v>
      </c>
      <c r="L12" s="8">
        <v>98.3</v>
      </c>
      <c r="M12" s="8">
        <v>57.73</v>
      </c>
      <c r="N12" s="8">
        <v>38.41</v>
      </c>
      <c r="O12" s="8">
        <v>33.73</v>
      </c>
      <c r="P12" s="8">
        <v>33.94</v>
      </c>
      <c r="Q12" s="8">
        <v>29.26</v>
      </c>
      <c r="R12" s="9">
        <v>78.5</v>
      </c>
    </row>
    <row r="13" spans="1:18" ht="12.75">
      <c r="A13" s="100">
        <f t="shared" si="0"/>
        <v>8</v>
      </c>
      <c r="B13" s="4" t="s">
        <v>901</v>
      </c>
      <c r="C13" s="8">
        <v>175.3</v>
      </c>
      <c r="D13" s="8">
        <v>157.5</v>
      </c>
      <c r="E13" s="8">
        <v>117</v>
      </c>
      <c r="F13" s="8">
        <v>76.51</v>
      </c>
      <c r="G13" s="8">
        <v>71.83</v>
      </c>
      <c r="H13" s="8">
        <v>60.41</v>
      </c>
      <c r="I13" s="8">
        <v>55.73</v>
      </c>
      <c r="J13" s="8">
        <v>127.4</v>
      </c>
      <c r="K13" s="8">
        <v>76.1</v>
      </c>
      <c r="L13" s="8">
        <v>98.3</v>
      </c>
      <c r="M13" s="8">
        <v>57.73</v>
      </c>
      <c r="N13" s="8">
        <v>38.41</v>
      </c>
      <c r="O13" s="8">
        <v>33.73</v>
      </c>
      <c r="P13" s="8">
        <v>33.94</v>
      </c>
      <c r="Q13" s="8">
        <v>29.26</v>
      </c>
      <c r="R13" s="9">
        <v>78.5</v>
      </c>
    </row>
    <row r="14" spans="1:18" ht="12.75">
      <c r="A14" s="100">
        <f t="shared" si="0"/>
        <v>9</v>
      </c>
      <c r="B14" s="4" t="s">
        <v>902</v>
      </c>
      <c r="C14" s="8">
        <v>175.3</v>
      </c>
      <c r="D14" s="8">
        <v>157.5</v>
      </c>
      <c r="E14" s="8">
        <v>118.3</v>
      </c>
      <c r="F14" s="8">
        <v>77.85</v>
      </c>
      <c r="G14" s="8">
        <v>73.17</v>
      </c>
      <c r="H14" s="8">
        <v>61.57</v>
      </c>
      <c r="I14" s="8">
        <v>56.89</v>
      </c>
      <c r="J14" s="8">
        <v>129.1</v>
      </c>
      <c r="K14" s="8">
        <v>78.7</v>
      </c>
      <c r="L14" s="8">
        <v>99.6</v>
      </c>
      <c r="M14" s="8">
        <v>59.29</v>
      </c>
      <c r="N14" s="8">
        <v>39.97</v>
      </c>
      <c r="O14" s="8">
        <v>35.29</v>
      </c>
      <c r="P14" s="8">
        <v>35.29</v>
      </c>
      <c r="Q14" s="8">
        <v>30.61</v>
      </c>
      <c r="R14" s="9">
        <v>80.5</v>
      </c>
    </row>
    <row r="15" spans="1:18" ht="12.75">
      <c r="A15" s="100">
        <f t="shared" si="0"/>
        <v>10</v>
      </c>
      <c r="B15" s="4" t="s">
        <v>903</v>
      </c>
      <c r="C15" s="8">
        <v>178</v>
      </c>
      <c r="D15" s="8">
        <v>159</v>
      </c>
      <c r="E15" s="8">
        <v>119.9</v>
      </c>
      <c r="F15" s="8">
        <v>79.42</v>
      </c>
      <c r="G15" s="8">
        <v>74.74</v>
      </c>
      <c r="H15" s="8">
        <v>62.92</v>
      </c>
      <c r="I15" s="8">
        <v>58.24</v>
      </c>
      <c r="J15" s="8">
        <v>131.1</v>
      </c>
      <c r="K15" s="8">
        <v>80.5</v>
      </c>
      <c r="L15" s="8">
        <v>101.2</v>
      </c>
      <c r="M15" s="8">
        <v>60.29</v>
      </c>
      <c r="N15" s="8">
        <v>40.97</v>
      </c>
      <c r="O15" s="8">
        <v>36.29</v>
      </c>
      <c r="P15" s="8">
        <v>36.15</v>
      </c>
      <c r="Q15" s="8">
        <v>31.47</v>
      </c>
      <c r="R15" s="9">
        <v>82.2</v>
      </c>
    </row>
    <row r="16" spans="1:18" ht="12.75">
      <c r="A16" s="100">
        <f t="shared" si="0"/>
        <v>11</v>
      </c>
      <c r="B16" s="4" t="s">
        <v>904</v>
      </c>
      <c r="C16" s="8">
        <v>181</v>
      </c>
      <c r="D16" s="8">
        <v>161.4</v>
      </c>
      <c r="E16" s="8">
        <v>121.7</v>
      </c>
      <c r="F16" s="8">
        <v>81.25</v>
      </c>
      <c r="G16" s="8">
        <v>78.57</v>
      </c>
      <c r="H16" s="8">
        <v>64.5</v>
      </c>
      <c r="I16" s="8">
        <v>59.82</v>
      </c>
      <c r="J16" s="8">
        <v>135.1</v>
      </c>
      <c r="K16" s="8">
        <v>82.6</v>
      </c>
      <c r="L16" s="8">
        <v>104.3</v>
      </c>
      <c r="M16" s="8">
        <v>61.65</v>
      </c>
      <c r="N16" s="8">
        <v>42.33</v>
      </c>
      <c r="O16" s="8">
        <v>37.65</v>
      </c>
      <c r="P16" s="8">
        <v>37.32</v>
      </c>
      <c r="Q16" s="8">
        <v>32.64</v>
      </c>
      <c r="R16" s="9">
        <v>83.8</v>
      </c>
    </row>
    <row r="17" spans="1:18" ht="12.75">
      <c r="A17" s="100">
        <f t="shared" si="0"/>
        <v>12</v>
      </c>
      <c r="B17" s="4" t="s">
        <v>905</v>
      </c>
      <c r="C17" s="17">
        <v>183.9</v>
      </c>
      <c r="D17" s="17">
        <v>164.2</v>
      </c>
      <c r="E17" s="17">
        <v>124</v>
      </c>
      <c r="F17" s="17">
        <v>83.78</v>
      </c>
      <c r="G17" s="17">
        <v>79.1</v>
      </c>
      <c r="H17" s="17">
        <v>66.68</v>
      </c>
      <c r="I17" s="17">
        <v>62</v>
      </c>
      <c r="J17" s="17">
        <v>139.6</v>
      </c>
      <c r="K17" s="17">
        <v>85.8</v>
      </c>
      <c r="L17" s="17">
        <v>108.6</v>
      </c>
      <c r="M17" s="17">
        <v>63.5</v>
      </c>
      <c r="N17" s="17">
        <v>44.18</v>
      </c>
      <c r="O17" s="17">
        <v>39.5</v>
      </c>
      <c r="P17" s="17">
        <v>38.92</v>
      </c>
      <c r="Q17" s="17">
        <v>34.24</v>
      </c>
      <c r="R17" s="18">
        <v>85.6</v>
      </c>
    </row>
    <row r="18" spans="1:18" ht="12.75">
      <c r="A18" s="100">
        <f t="shared" si="0"/>
        <v>13</v>
      </c>
      <c r="B18" s="4" t="s">
        <v>906</v>
      </c>
      <c r="C18" s="17">
        <v>183.9</v>
      </c>
      <c r="D18" s="17">
        <v>164.2</v>
      </c>
      <c r="E18" s="17">
        <v>124</v>
      </c>
      <c r="F18" s="17">
        <v>83.78</v>
      </c>
      <c r="G18" s="17">
        <v>79.1</v>
      </c>
      <c r="H18" s="17">
        <v>66.68</v>
      </c>
      <c r="I18" s="17">
        <v>62</v>
      </c>
      <c r="J18" s="17">
        <v>139.6</v>
      </c>
      <c r="K18" s="17">
        <v>85.8</v>
      </c>
      <c r="L18" s="17">
        <v>108.6</v>
      </c>
      <c r="M18" s="17">
        <v>63.5</v>
      </c>
      <c r="N18" s="17">
        <v>44.18</v>
      </c>
      <c r="O18" s="17">
        <v>39.5</v>
      </c>
      <c r="P18" s="17">
        <v>38.92</v>
      </c>
      <c r="Q18" s="17">
        <v>34.24</v>
      </c>
      <c r="R18" s="18">
        <v>85.6</v>
      </c>
    </row>
    <row r="19" spans="1:18" ht="12.75">
      <c r="A19" s="100">
        <f t="shared" si="0"/>
        <v>14</v>
      </c>
      <c r="B19" s="4" t="s">
        <v>907</v>
      </c>
      <c r="C19" s="17">
        <v>183.9</v>
      </c>
      <c r="D19" s="17">
        <v>164.2</v>
      </c>
      <c r="E19" s="17">
        <v>124</v>
      </c>
      <c r="F19" s="17">
        <v>83.78</v>
      </c>
      <c r="G19" s="17">
        <v>79.1</v>
      </c>
      <c r="H19" s="17">
        <v>66.68</v>
      </c>
      <c r="I19" s="17">
        <v>62</v>
      </c>
      <c r="J19" s="17">
        <v>139.6</v>
      </c>
      <c r="K19" s="17">
        <v>85.8</v>
      </c>
      <c r="L19" s="17">
        <v>108.6</v>
      </c>
      <c r="M19" s="17">
        <v>63.5</v>
      </c>
      <c r="N19" s="17">
        <v>44.18</v>
      </c>
      <c r="O19" s="17">
        <v>39.5</v>
      </c>
      <c r="P19" s="17">
        <v>38.92</v>
      </c>
      <c r="Q19" s="17">
        <v>34.24</v>
      </c>
      <c r="R19" s="18">
        <v>85.6</v>
      </c>
    </row>
    <row r="20" spans="1:18" ht="12.75">
      <c r="A20" s="100">
        <f t="shared" si="0"/>
        <v>15</v>
      </c>
      <c r="B20" s="4" t="s">
        <v>908</v>
      </c>
      <c r="C20" s="17">
        <v>183.9</v>
      </c>
      <c r="D20" s="17">
        <v>164.2</v>
      </c>
      <c r="E20" s="17">
        <v>124</v>
      </c>
      <c r="F20" s="17">
        <v>83.78</v>
      </c>
      <c r="G20" s="17">
        <v>79.1</v>
      </c>
      <c r="H20" s="17">
        <v>66.68</v>
      </c>
      <c r="I20" s="17">
        <v>62</v>
      </c>
      <c r="J20" s="17">
        <v>139.6</v>
      </c>
      <c r="K20" s="17">
        <v>85.8</v>
      </c>
      <c r="L20" s="17">
        <v>108.6</v>
      </c>
      <c r="M20" s="17">
        <v>63.5</v>
      </c>
      <c r="N20" s="17">
        <v>44.18</v>
      </c>
      <c r="O20" s="17">
        <v>39.5</v>
      </c>
      <c r="P20" s="17">
        <v>38.92</v>
      </c>
      <c r="Q20" s="17">
        <v>34.24</v>
      </c>
      <c r="R20" s="18">
        <v>85.6</v>
      </c>
    </row>
    <row r="21" spans="1:18" ht="12.75">
      <c r="A21" s="100">
        <f t="shared" si="0"/>
        <v>16</v>
      </c>
      <c r="B21" s="4" t="s">
        <v>909</v>
      </c>
      <c r="C21" s="17">
        <v>186.4</v>
      </c>
      <c r="D21" s="17">
        <v>167.1</v>
      </c>
      <c r="E21" s="17">
        <v>125.8</v>
      </c>
      <c r="F21" s="17">
        <v>85.61</v>
      </c>
      <c r="G21" s="17">
        <v>80.93</v>
      </c>
      <c r="H21" s="17">
        <v>68.26</v>
      </c>
      <c r="I21" s="17">
        <v>63.58</v>
      </c>
      <c r="J21" s="17">
        <v>140.7</v>
      </c>
      <c r="K21" s="17">
        <v>87.5</v>
      </c>
      <c r="L21" s="17">
        <v>110.2</v>
      </c>
      <c r="M21" s="17">
        <v>65.44</v>
      </c>
      <c r="N21" s="17">
        <v>46.12</v>
      </c>
      <c r="O21" s="17">
        <v>41.44</v>
      </c>
      <c r="P21" s="17">
        <v>40.59</v>
      </c>
      <c r="Q21" s="17">
        <v>35.91</v>
      </c>
      <c r="R21" s="18">
        <v>86.6</v>
      </c>
    </row>
    <row r="22" spans="1:18" ht="12.75">
      <c r="A22" s="100">
        <f t="shared" si="0"/>
        <v>17</v>
      </c>
      <c r="B22" s="4" t="s">
        <v>910</v>
      </c>
      <c r="C22" s="17">
        <v>188.9</v>
      </c>
      <c r="D22" s="17">
        <v>169.8</v>
      </c>
      <c r="E22" s="17">
        <v>128.1</v>
      </c>
      <c r="F22" s="17">
        <v>87.91</v>
      </c>
      <c r="G22" s="17">
        <v>83.23</v>
      </c>
      <c r="H22" s="17">
        <v>70.24</v>
      </c>
      <c r="I22" s="17">
        <v>65.56</v>
      </c>
      <c r="J22" s="17">
        <v>143.3</v>
      </c>
      <c r="K22" s="17">
        <v>88.9</v>
      </c>
      <c r="L22" s="17">
        <v>111.8</v>
      </c>
      <c r="M22" s="17">
        <v>66.44</v>
      </c>
      <c r="N22" s="17">
        <v>47.12</v>
      </c>
      <c r="O22" s="17">
        <v>42.44</v>
      </c>
      <c r="P22" s="17">
        <v>41.45</v>
      </c>
      <c r="Q22" s="17">
        <v>36.77</v>
      </c>
      <c r="R22" s="18">
        <v>87.6</v>
      </c>
    </row>
    <row r="23" spans="1:18" ht="12.75">
      <c r="A23" s="100">
        <f t="shared" si="0"/>
        <v>18</v>
      </c>
      <c r="B23" s="4" t="s">
        <v>911</v>
      </c>
      <c r="C23" s="17">
        <v>192</v>
      </c>
      <c r="D23" s="17">
        <v>172.7</v>
      </c>
      <c r="E23" s="17">
        <v>131</v>
      </c>
      <c r="F23" s="17">
        <v>90.8</v>
      </c>
      <c r="G23" s="17">
        <v>86.12</v>
      </c>
      <c r="H23" s="17">
        <v>72.73</v>
      </c>
      <c r="I23" s="17">
        <v>68.05</v>
      </c>
      <c r="J23" s="17">
        <v>146.3</v>
      </c>
      <c r="K23" s="17">
        <v>90.8</v>
      </c>
      <c r="L23" s="17">
        <v>113.9</v>
      </c>
      <c r="M23" s="17">
        <v>68.83</v>
      </c>
      <c r="N23" s="17">
        <v>49.51</v>
      </c>
      <c r="O23" s="17">
        <v>44.83</v>
      </c>
      <c r="P23" s="17">
        <v>43.51</v>
      </c>
      <c r="Q23" s="17">
        <v>38.83</v>
      </c>
      <c r="R23" s="18">
        <v>88.6</v>
      </c>
    </row>
    <row r="24" spans="1:18" ht="12.75">
      <c r="A24" s="100">
        <f t="shared" si="0"/>
        <v>19</v>
      </c>
      <c r="B24" s="4" t="s">
        <v>912</v>
      </c>
      <c r="C24" s="17">
        <v>192</v>
      </c>
      <c r="D24" s="17">
        <v>172.7</v>
      </c>
      <c r="E24" s="17">
        <v>131</v>
      </c>
      <c r="F24" s="17">
        <v>90.8</v>
      </c>
      <c r="G24" s="17">
        <v>86.12</v>
      </c>
      <c r="H24" s="17">
        <v>72.73</v>
      </c>
      <c r="I24" s="17">
        <v>68.05</v>
      </c>
      <c r="J24" s="17">
        <v>146.3</v>
      </c>
      <c r="K24" s="17">
        <v>90.8</v>
      </c>
      <c r="L24" s="17">
        <v>113.9</v>
      </c>
      <c r="M24" s="17">
        <v>68.83</v>
      </c>
      <c r="N24" s="17">
        <v>49.51</v>
      </c>
      <c r="O24" s="17">
        <v>44.83</v>
      </c>
      <c r="P24" s="17">
        <v>43.51</v>
      </c>
      <c r="Q24" s="17">
        <v>38.83</v>
      </c>
      <c r="R24" s="18">
        <v>88.6</v>
      </c>
    </row>
    <row r="25" spans="1:19" ht="12.75">
      <c r="A25" s="100">
        <f t="shared" si="0"/>
        <v>20</v>
      </c>
      <c r="B25" s="4" t="s">
        <v>913</v>
      </c>
      <c r="C25" s="17">
        <v>192</v>
      </c>
      <c r="D25" s="17">
        <v>172.7</v>
      </c>
      <c r="E25" s="17">
        <v>131</v>
      </c>
      <c r="F25" s="17">
        <v>90.8</v>
      </c>
      <c r="G25" s="17">
        <v>86.12</v>
      </c>
      <c r="H25" s="17">
        <v>72.73</v>
      </c>
      <c r="I25" s="17">
        <v>68.05</v>
      </c>
      <c r="J25" s="17">
        <v>146.3</v>
      </c>
      <c r="K25" s="17">
        <v>90.8</v>
      </c>
      <c r="L25" s="17">
        <v>113.9</v>
      </c>
      <c r="M25" s="17">
        <v>68.83</v>
      </c>
      <c r="N25" s="17">
        <v>49.51</v>
      </c>
      <c r="O25" s="17">
        <v>44.83</v>
      </c>
      <c r="P25" s="17">
        <v>43.51</v>
      </c>
      <c r="Q25" s="17">
        <v>38.83</v>
      </c>
      <c r="R25" s="18">
        <v>88.6</v>
      </c>
      <c r="S25" s="97"/>
    </row>
    <row r="26" spans="1:18" ht="12.75">
      <c r="A26" s="100">
        <f t="shared" si="0"/>
        <v>21</v>
      </c>
      <c r="B26" s="4" t="s">
        <v>914</v>
      </c>
      <c r="C26" s="8">
        <v>195.7</v>
      </c>
      <c r="D26" s="8">
        <v>176.2</v>
      </c>
      <c r="E26" s="8">
        <v>133.9</v>
      </c>
      <c r="F26" s="8">
        <v>93.72</v>
      </c>
      <c r="G26" s="8">
        <v>89.04</v>
      </c>
      <c r="H26" s="8">
        <v>75.25</v>
      </c>
      <c r="I26" s="8">
        <v>70.57</v>
      </c>
      <c r="J26" s="8">
        <v>148.5</v>
      </c>
      <c r="K26" s="8">
        <v>92.8</v>
      </c>
      <c r="L26" s="8">
        <v>116</v>
      </c>
      <c r="M26" s="8">
        <v>71.1</v>
      </c>
      <c r="N26" s="8">
        <v>51.78</v>
      </c>
      <c r="O26" s="8">
        <v>47.1</v>
      </c>
      <c r="P26" s="8">
        <v>45.47</v>
      </c>
      <c r="Q26" s="8">
        <v>40.79</v>
      </c>
      <c r="R26" s="9">
        <v>89.6</v>
      </c>
    </row>
    <row r="27" spans="1:18" ht="12.75">
      <c r="A27" s="100">
        <f t="shared" si="0"/>
        <v>22</v>
      </c>
      <c r="B27" s="4" t="s">
        <v>915</v>
      </c>
      <c r="C27" s="8">
        <v>199.3</v>
      </c>
      <c r="D27" s="8">
        <v>179.6</v>
      </c>
      <c r="E27" s="8">
        <v>136.7</v>
      </c>
      <c r="F27" s="8">
        <v>96.45</v>
      </c>
      <c r="G27" s="8">
        <v>91.77</v>
      </c>
      <c r="H27" s="8">
        <v>77.6</v>
      </c>
      <c r="I27" s="8">
        <v>72.92</v>
      </c>
      <c r="J27" s="8">
        <v>150.7</v>
      </c>
      <c r="K27" s="8">
        <v>94.9</v>
      </c>
      <c r="L27" s="8">
        <v>118.3</v>
      </c>
      <c r="M27" s="8">
        <v>72.55</v>
      </c>
      <c r="N27" s="8">
        <v>53.23</v>
      </c>
      <c r="O27" s="8">
        <v>48.55</v>
      </c>
      <c r="P27" s="8">
        <v>46.72</v>
      </c>
      <c r="Q27" s="8">
        <v>42.04</v>
      </c>
      <c r="R27" s="9">
        <v>90.6</v>
      </c>
    </row>
    <row r="28" spans="1:18" ht="12.75">
      <c r="A28" s="100">
        <f t="shared" si="0"/>
        <v>23</v>
      </c>
      <c r="B28" s="4" t="s">
        <v>916</v>
      </c>
      <c r="C28" s="8">
        <v>203.6</v>
      </c>
      <c r="D28" s="8">
        <v>184.4</v>
      </c>
      <c r="E28" s="8">
        <v>139.9</v>
      </c>
      <c r="F28" s="8">
        <v>99.7</v>
      </c>
      <c r="G28" s="8">
        <v>95.02</v>
      </c>
      <c r="H28" s="8">
        <v>80.4</v>
      </c>
      <c r="I28" s="8">
        <v>75.72</v>
      </c>
      <c r="J28" s="8">
        <v>153</v>
      </c>
      <c r="K28" s="8">
        <v>102</v>
      </c>
      <c r="L28" s="8">
        <v>122.1</v>
      </c>
      <c r="M28" s="8">
        <v>74.3</v>
      </c>
      <c r="N28" s="8">
        <v>54.98</v>
      </c>
      <c r="O28" s="8">
        <v>50.3</v>
      </c>
      <c r="P28" s="8">
        <v>48.23</v>
      </c>
      <c r="Q28" s="8">
        <v>43.55</v>
      </c>
      <c r="R28" s="9">
        <v>90.6</v>
      </c>
    </row>
    <row r="29" spans="1:18" ht="12.75">
      <c r="A29" s="100">
        <f t="shared" si="0"/>
        <v>24</v>
      </c>
      <c r="B29" s="4" t="s">
        <v>917</v>
      </c>
      <c r="C29" s="8">
        <v>205.7</v>
      </c>
      <c r="D29" s="8">
        <v>186.9</v>
      </c>
      <c r="E29" s="8">
        <v>142.2</v>
      </c>
      <c r="F29" s="8">
        <v>104.48</v>
      </c>
      <c r="G29" s="8">
        <v>99.8</v>
      </c>
      <c r="H29" s="8">
        <v>84.52</v>
      </c>
      <c r="I29" s="8">
        <v>79.84</v>
      </c>
      <c r="J29" s="8">
        <v>154.8</v>
      </c>
      <c r="K29" s="8">
        <v>103.1</v>
      </c>
      <c r="L29" s="8">
        <v>124.6</v>
      </c>
      <c r="M29" s="8">
        <v>77.91</v>
      </c>
      <c r="N29" s="8">
        <v>58.58</v>
      </c>
      <c r="O29" s="8">
        <v>53.9</v>
      </c>
      <c r="P29" s="8">
        <v>51.33</v>
      </c>
      <c r="Q29" s="8">
        <v>46.65</v>
      </c>
      <c r="R29" s="9">
        <v>88.3</v>
      </c>
    </row>
    <row r="30" spans="1:18" ht="12.75">
      <c r="A30" s="100">
        <f t="shared" si="0"/>
        <v>25</v>
      </c>
      <c r="B30" s="4" t="s">
        <v>918</v>
      </c>
      <c r="C30" s="8">
        <v>205.7</v>
      </c>
      <c r="D30" s="8">
        <v>186.9</v>
      </c>
      <c r="E30" s="8">
        <v>142.2</v>
      </c>
      <c r="F30" s="8">
        <v>104.48</v>
      </c>
      <c r="G30" s="8">
        <v>99.8</v>
      </c>
      <c r="H30" s="8">
        <v>84.52</v>
      </c>
      <c r="I30" s="8">
        <v>79.84</v>
      </c>
      <c r="J30" s="8">
        <v>154.8</v>
      </c>
      <c r="K30" s="8">
        <v>103.1</v>
      </c>
      <c r="L30" s="8">
        <v>124.6</v>
      </c>
      <c r="M30" s="8">
        <v>77.91</v>
      </c>
      <c r="N30" s="8">
        <v>58.58</v>
      </c>
      <c r="O30" s="8">
        <v>53.9</v>
      </c>
      <c r="P30" s="8">
        <v>51.33</v>
      </c>
      <c r="Q30" s="8">
        <v>46.65</v>
      </c>
      <c r="R30" s="9">
        <v>88.3</v>
      </c>
    </row>
    <row r="31" spans="1:18" ht="12.75">
      <c r="A31" s="100">
        <f t="shared" si="0"/>
        <v>26</v>
      </c>
      <c r="B31" s="4" t="s">
        <v>924</v>
      </c>
      <c r="C31" s="8">
        <v>205.7</v>
      </c>
      <c r="D31" s="8">
        <v>186.9</v>
      </c>
      <c r="E31" s="8">
        <v>142.2</v>
      </c>
      <c r="F31" s="8">
        <v>104.48</v>
      </c>
      <c r="G31" s="8">
        <v>99.8</v>
      </c>
      <c r="H31" s="8">
        <v>84.52</v>
      </c>
      <c r="I31" s="8">
        <v>79.84</v>
      </c>
      <c r="J31" s="8">
        <v>154.8</v>
      </c>
      <c r="K31" s="8">
        <v>103.1</v>
      </c>
      <c r="L31" s="8">
        <v>124.6</v>
      </c>
      <c r="M31" s="8">
        <v>77.91</v>
      </c>
      <c r="N31" s="8">
        <v>58.58</v>
      </c>
      <c r="O31" s="8">
        <v>53.9</v>
      </c>
      <c r="P31" s="8">
        <v>51.33</v>
      </c>
      <c r="Q31" s="8">
        <v>46.65</v>
      </c>
      <c r="R31" s="9">
        <v>88.3</v>
      </c>
    </row>
    <row r="32" spans="1:18" ht="12.75">
      <c r="A32" s="100">
        <f t="shared" si="0"/>
        <v>27</v>
      </c>
      <c r="B32" s="4" t="s">
        <v>926</v>
      </c>
      <c r="C32" s="8">
        <v>205.7</v>
      </c>
      <c r="D32" s="8">
        <v>186.9</v>
      </c>
      <c r="E32" s="8">
        <v>142.2</v>
      </c>
      <c r="F32" s="8">
        <v>104.48</v>
      </c>
      <c r="G32" s="8">
        <v>99.8</v>
      </c>
      <c r="H32" s="8">
        <v>84.52</v>
      </c>
      <c r="I32" s="8">
        <v>79.84</v>
      </c>
      <c r="J32" s="8">
        <v>154.8</v>
      </c>
      <c r="K32" s="8">
        <v>103.1</v>
      </c>
      <c r="L32" s="8">
        <v>124.6</v>
      </c>
      <c r="M32" s="8">
        <v>77.91</v>
      </c>
      <c r="N32" s="8">
        <v>58.58</v>
      </c>
      <c r="O32" s="8">
        <v>53.9</v>
      </c>
      <c r="P32" s="8">
        <v>51.33</v>
      </c>
      <c r="Q32" s="8">
        <v>46.65</v>
      </c>
      <c r="R32" s="9">
        <v>88.3</v>
      </c>
    </row>
    <row r="33" spans="1:18" ht="12.75">
      <c r="A33" s="100">
        <f t="shared" si="0"/>
        <v>28</v>
      </c>
      <c r="B33" s="4" t="s">
        <v>925</v>
      </c>
      <c r="C33" s="8">
        <v>201.7</v>
      </c>
      <c r="D33" s="8">
        <v>184.6</v>
      </c>
      <c r="E33" s="8">
        <v>142.2</v>
      </c>
      <c r="F33" s="8">
        <v>104.48</v>
      </c>
      <c r="G33" s="8">
        <v>99.8</v>
      </c>
      <c r="H33" s="8">
        <v>84.52</v>
      </c>
      <c r="I33" s="8">
        <v>79.84</v>
      </c>
      <c r="J33" s="8">
        <v>154.8</v>
      </c>
      <c r="K33" s="8">
        <v>103.1</v>
      </c>
      <c r="L33" s="8">
        <v>126.1</v>
      </c>
      <c r="M33" s="8">
        <v>79.46</v>
      </c>
      <c r="N33" s="8">
        <v>60.14</v>
      </c>
      <c r="O33" s="8">
        <v>55.46</v>
      </c>
      <c r="P33" s="8">
        <v>52.68</v>
      </c>
      <c r="Q33" s="8">
        <v>48</v>
      </c>
      <c r="R33" s="9">
        <v>90.2</v>
      </c>
    </row>
    <row r="34" spans="1:18" ht="12.75">
      <c r="A34" s="100">
        <f t="shared" si="0"/>
        <v>29</v>
      </c>
      <c r="B34" s="4" t="s">
        <v>927</v>
      </c>
      <c r="C34" s="8">
        <v>197.4</v>
      </c>
      <c r="D34" s="8">
        <v>181.1</v>
      </c>
      <c r="E34" s="8">
        <v>139.4</v>
      </c>
      <c r="F34" s="8">
        <v>100.56</v>
      </c>
      <c r="G34" s="8">
        <v>95.88</v>
      </c>
      <c r="H34" s="8">
        <v>81.14</v>
      </c>
      <c r="I34" s="8">
        <v>76.46</v>
      </c>
      <c r="J34" s="8">
        <v>152.8</v>
      </c>
      <c r="K34" s="8">
        <v>100.7</v>
      </c>
      <c r="L34" s="8">
        <v>123.8</v>
      </c>
      <c r="M34" s="8">
        <v>78.43</v>
      </c>
      <c r="N34" s="8">
        <v>59.11</v>
      </c>
      <c r="O34" s="8">
        <v>54.43</v>
      </c>
      <c r="P34" s="8">
        <v>51.79</v>
      </c>
      <c r="Q34" s="8">
        <v>47.11</v>
      </c>
      <c r="R34" s="9">
        <v>89.2</v>
      </c>
    </row>
    <row r="35" spans="1:18" ht="12.75">
      <c r="A35" s="100">
        <f t="shared" si="0"/>
        <v>30</v>
      </c>
      <c r="B35" s="4" t="s">
        <v>928</v>
      </c>
      <c r="C35" s="8">
        <v>196.5</v>
      </c>
      <c r="D35" s="8">
        <v>180.6</v>
      </c>
      <c r="E35" s="8">
        <v>138.5</v>
      </c>
      <c r="F35" s="8">
        <v>98.45</v>
      </c>
      <c r="G35" s="8">
        <v>93.27</v>
      </c>
      <c r="H35" s="8">
        <v>79.39</v>
      </c>
      <c r="I35" s="8">
        <v>74.21</v>
      </c>
      <c r="J35" s="8">
        <v>151.7</v>
      </c>
      <c r="K35" s="8">
        <v>99.4</v>
      </c>
      <c r="L35" s="8">
        <v>122.7</v>
      </c>
      <c r="M35" s="8">
        <v>78.43</v>
      </c>
      <c r="N35" s="8">
        <v>59.11</v>
      </c>
      <c r="O35" s="8">
        <v>54.43</v>
      </c>
      <c r="P35" s="8">
        <v>51.79</v>
      </c>
      <c r="Q35" s="8">
        <v>47.11</v>
      </c>
      <c r="R35" s="9">
        <v>88.2</v>
      </c>
    </row>
    <row r="36" spans="1:18" ht="12.75">
      <c r="A36" s="100">
        <f t="shared" si="0"/>
        <v>31</v>
      </c>
      <c r="B36" s="4" t="s">
        <v>929</v>
      </c>
      <c r="C36" s="8">
        <v>195.5</v>
      </c>
      <c r="D36" s="8">
        <v>179.6</v>
      </c>
      <c r="E36" s="8">
        <v>136.6</v>
      </c>
      <c r="F36" s="8">
        <v>95.95</v>
      </c>
      <c r="G36" s="8">
        <v>90.77</v>
      </c>
      <c r="H36" s="8">
        <v>7.24</v>
      </c>
      <c r="I36" s="8">
        <v>72.06</v>
      </c>
      <c r="J36" s="8">
        <v>149.9</v>
      </c>
      <c r="K36" s="8">
        <v>97.2</v>
      </c>
      <c r="L36" s="8">
        <v>120.5</v>
      </c>
      <c r="M36" s="8">
        <v>77.13</v>
      </c>
      <c r="N36" s="8">
        <v>57.81</v>
      </c>
      <c r="O36" s="8">
        <v>52.63</v>
      </c>
      <c r="P36" s="8">
        <v>50.74</v>
      </c>
      <c r="Q36" s="8">
        <v>45.56</v>
      </c>
      <c r="R36" s="9">
        <v>88.2</v>
      </c>
    </row>
    <row r="37" spans="1:18" ht="12.75">
      <c r="A37" s="100">
        <f t="shared" si="0"/>
        <v>32</v>
      </c>
      <c r="B37" s="4" t="s">
        <v>930</v>
      </c>
      <c r="C37" s="8">
        <v>194.2</v>
      </c>
      <c r="D37" s="8">
        <v>178.5</v>
      </c>
      <c r="E37" s="8">
        <v>134.3</v>
      </c>
      <c r="F37" s="8">
        <v>93.33</v>
      </c>
      <c r="G37" s="8">
        <v>87.65</v>
      </c>
      <c r="H37" s="8">
        <v>75.05</v>
      </c>
      <c r="I37" s="8">
        <v>69.37</v>
      </c>
      <c r="J37" s="8">
        <v>147.6</v>
      </c>
      <c r="K37" s="8">
        <v>94.7</v>
      </c>
      <c r="L37" s="8">
        <v>117.9</v>
      </c>
      <c r="M37" s="8">
        <v>75.13</v>
      </c>
      <c r="N37" s="8">
        <v>55.84</v>
      </c>
      <c r="O37" s="8">
        <v>50.16</v>
      </c>
      <c r="P37" s="8">
        <v>49.11</v>
      </c>
      <c r="Q37" s="8">
        <v>43.43</v>
      </c>
      <c r="R37" s="9">
        <v>87.2</v>
      </c>
    </row>
    <row r="38" spans="1:18" ht="12.75">
      <c r="A38" s="100">
        <f t="shared" si="0"/>
        <v>33</v>
      </c>
      <c r="B38" s="4" t="s">
        <v>931</v>
      </c>
      <c r="C38" s="8">
        <v>194.2</v>
      </c>
      <c r="D38" s="8">
        <v>178.5</v>
      </c>
      <c r="E38" s="8">
        <v>134.3</v>
      </c>
      <c r="F38" s="8">
        <v>93.33</v>
      </c>
      <c r="G38" s="8">
        <v>87.65</v>
      </c>
      <c r="H38" s="8">
        <v>75.05</v>
      </c>
      <c r="I38" s="8">
        <v>69.37</v>
      </c>
      <c r="J38" s="8">
        <v>147.6</v>
      </c>
      <c r="K38" s="8">
        <v>94.7</v>
      </c>
      <c r="L38" s="8">
        <v>117.9</v>
      </c>
      <c r="M38" s="8">
        <v>75.13</v>
      </c>
      <c r="N38" s="8">
        <v>55.84</v>
      </c>
      <c r="O38" s="8">
        <v>50.16</v>
      </c>
      <c r="P38" s="8">
        <v>49.11</v>
      </c>
      <c r="Q38" s="8">
        <v>43.43</v>
      </c>
      <c r="R38" s="9">
        <v>87.2</v>
      </c>
    </row>
    <row r="39" spans="1:18" ht="12.75">
      <c r="A39" s="100">
        <f t="shared" si="0"/>
        <v>34</v>
      </c>
      <c r="B39" s="4" t="s">
        <v>932</v>
      </c>
      <c r="C39" s="8">
        <v>194.2</v>
      </c>
      <c r="D39" s="8">
        <v>178.5</v>
      </c>
      <c r="E39" s="8">
        <v>134.3</v>
      </c>
      <c r="F39" s="8">
        <v>93.33</v>
      </c>
      <c r="G39" s="8">
        <v>87.65</v>
      </c>
      <c r="H39" s="8">
        <v>78.05</v>
      </c>
      <c r="I39" s="8">
        <v>69.37</v>
      </c>
      <c r="J39" s="8">
        <v>147.6</v>
      </c>
      <c r="K39" s="8">
        <v>98.7</v>
      </c>
      <c r="L39" s="8">
        <v>122.3</v>
      </c>
      <c r="M39" s="8">
        <v>77.23</v>
      </c>
      <c r="N39" s="8">
        <v>57.9</v>
      </c>
      <c r="O39" s="8">
        <v>52.22</v>
      </c>
      <c r="P39" s="8">
        <v>50.88</v>
      </c>
      <c r="Q39" s="8">
        <v>45.2</v>
      </c>
      <c r="R39" s="9">
        <v>87.2</v>
      </c>
    </row>
    <row r="40" spans="1:18" ht="12.75">
      <c r="A40" s="100">
        <f t="shared" si="0"/>
        <v>35</v>
      </c>
      <c r="B40" s="4" t="s">
        <v>933</v>
      </c>
      <c r="C40" s="8">
        <v>199.6</v>
      </c>
      <c r="D40" s="8">
        <v>184</v>
      </c>
      <c r="E40" s="8">
        <v>140.6</v>
      </c>
      <c r="F40" s="8">
        <v>99.25</v>
      </c>
      <c r="G40" s="8">
        <v>93.57</v>
      </c>
      <c r="H40" s="8">
        <v>80.15</v>
      </c>
      <c r="I40" s="8">
        <v>74.47</v>
      </c>
      <c r="J40" s="8">
        <v>153.6</v>
      </c>
      <c r="K40" s="8">
        <v>106.3</v>
      </c>
      <c r="L40" s="8">
        <v>130.5</v>
      </c>
      <c r="M40" s="8">
        <v>82.63</v>
      </c>
      <c r="N40" s="8">
        <v>63.28</v>
      </c>
      <c r="O40" s="8">
        <v>57.6</v>
      </c>
      <c r="P40" s="8">
        <v>55.52</v>
      </c>
      <c r="Q40" s="8">
        <v>49.84</v>
      </c>
      <c r="R40" s="9">
        <v>88.8</v>
      </c>
    </row>
    <row r="41" spans="1:18" ht="12.75">
      <c r="A41" s="100">
        <f t="shared" si="0"/>
        <v>36</v>
      </c>
      <c r="B41" s="4" t="s">
        <v>934</v>
      </c>
      <c r="C41" s="8">
        <v>201.5</v>
      </c>
      <c r="D41" s="8">
        <v>186</v>
      </c>
      <c r="E41" s="8">
        <v>142</v>
      </c>
      <c r="F41" s="8">
        <v>100.57</v>
      </c>
      <c r="G41" s="8">
        <v>94.89</v>
      </c>
      <c r="H41" s="8">
        <v>81.29</v>
      </c>
      <c r="I41" s="8">
        <v>75.61</v>
      </c>
      <c r="J41" s="8">
        <v>155.1</v>
      </c>
      <c r="K41" s="8">
        <v>106.3</v>
      </c>
      <c r="L41" s="8">
        <v>130.5</v>
      </c>
      <c r="M41" s="8">
        <v>82.63</v>
      </c>
      <c r="N41" s="8">
        <v>63.28</v>
      </c>
      <c r="O41" s="8">
        <v>57.6</v>
      </c>
      <c r="P41" s="8">
        <v>55.52</v>
      </c>
      <c r="Q41" s="8">
        <v>49.84</v>
      </c>
      <c r="R41" s="9">
        <v>88.8</v>
      </c>
    </row>
    <row r="42" spans="1:18" ht="12.75">
      <c r="A42" s="100">
        <f t="shared" si="0"/>
        <v>37</v>
      </c>
      <c r="B42" s="4" t="s">
        <v>935</v>
      </c>
      <c r="C42" s="8">
        <v>197.5</v>
      </c>
      <c r="D42" s="8">
        <v>182</v>
      </c>
      <c r="E42" s="8">
        <v>141</v>
      </c>
      <c r="F42" s="8">
        <v>99.57</v>
      </c>
      <c r="G42" s="8">
        <v>93.89</v>
      </c>
      <c r="H42" s="8">
        <v>80.43</v>
      </c>
      <c r="I42" s="8">
        <v>74.75</v>
      </c>
      <c r="J42" s="8">
        <v>154.6</v>
      </c>
      <c r="K42" s="8">
        <v>102.3</v>
      </c>
      <c r="L42" s="8">
        <v>126.5</v>
      </c>
      <c r="M42" s="8">
        <v>81.13</v>
      </c>
      <c r="N42" s="8">
        <v>61.78</v>
      </c>
      <c r="O42" s="8">
        <v>56.1</v>
      </c>
      <c r="P42" s="8">
        <v>54.23</v>
      </c>
      <c r="Q42" s="8">
        <v>48.55</v>
      </c>
      <c r="R42" s="9">
        <v>88.8</v>
      </c>
    </row>
    <row r="43" spans="1:18" ht="12.75">
      <c r="A43" s="100">
        <f t="shared" si="0"/>
        <v>38</v>
      </c>
      <c r="B43" s="4" t="s">
        <v>936</v>
      </c>
      <c r="C43" s="8">
        <v>197.5</v>
      </c>
      <c r="D43" s="8">
        <v>182</v>
      </c>
      <c r="E43" s="8">
        <v>141</v>
      </c>
      <c r="F43" s="8">
        <v>99.57</v>
      </c>
      <c r="G43" s="8">
        <v>93.89</v>
      </c>
      <c r="H43" s="8">
        <v>80.43</v>
      </c>
      <c r="I43" s="8">
        <v>74.75</v>
      </c>
      <c r="J43" s="8">
        <v>154.6</v>
      </c>
      <c r="K43" s="8">
        <v>102.3</v>
      </c>
      <c r="L43" s="8">
        <v>126.5</v>
      </c>
      <c r="M43" s="8">
        <v>81.13</v>
      </c>
      <c r="N43" s="8">
        <v>61.78</v>
      </c>
      <c r="O43" s="8">
        <v>56.1</v>
      </c>
      <c r="P43" s="8">
        <v>54.23</v>
      </c>
      <c r="Q43" s="8">
        <v>48.55</v>
      </c>
      <c r="R43" s="9">
        <v>88.8</v>
      </c>
    </row>
    <row r="44" spans="1:18" ht="12.75">
      <c r="A44" s="100">
        <f t="shared" si="0"/>
        <v>39</v>
      </c>
      <c r="B44" s="4" t="s">
        <v>937</v>
      </c>
      <c r="C44" s="8">
        <v>196.4</v>
      </c>
      <c r="D44" s="8">
        <v>181</v>
      </c>
      <c r="E44" s="8">
        <v>141</v>
      </c>
      <c r="F44" s="8">
        <v>99.57</v>
      </c>
      <c r="G44" s="8">
        <v>93.89</v>
      </c>
      <c r="H44" s="8">
        <v>80.43</v>
      </c>
      <c r="I44" s="8">
        <v>74.75</v>
      </c>
      <c r="J44" s="8">
        <v>153.5</v>
      </c>
      <c r="K44" s="8">
        <v>100.8</v>
      </c>
      <c r="L44" s="8">
        <v>124.6</v>
      </c>
      <c r="M44" s="8">
        <v>81.13</v>
      </c>
      <c r="N44" s="8">
        <v>61.78</v>
      </c>
      <c r="O44" s="8">
        <v>56.1</v>
      </c>
      <c r="P44" s="8">
        <v>54.23</v>
      </c>
      <c r="Q44" s="8">
        <v>48.55</v>
      </c>
      <c r="R44" s="9">
        <v>91.3</v>
      </c>
    </row>
    <row r="45" spans="1:18" ht="12.75">
      <c r="A45" s="100">
        <f t="shared" si="0"/>
        <v>40</v>
      </c>
      <c r="B45" s="4" t="s">
        <v>938</v>
      </c>
      <c r="C45" s="8">
        <v>198</v>
      </c>
      <c r="D45" s="8">
        <v>182.8</v>
      </c>
      <c r="E45" s="8">
        <v>142.3</v>
      </c>
      <c r="F45" s="8">
        <v>100.88</v>
      </c>
      <c r="G45" s="8">
        <v>95.2</v>
      </c>
      <c r="H45" s="8">
        <v>81.56</v>
      </c>
      <c r="I45" s="8">
        <v>75.88</v>
      </c>
      <c r="J45" s="8">
        <v>154.9</v>
      </c>
      <c r="K45" s="8">
        <v>101.8</v>
      </c>
      <c r="L45" s="8">
        <v>125.6</v>
      </c>
      <c r="M45" s="8">
        <v>82.33</v>
      </c>
      <c r="N45" s="8">
        <v>63.01</v>
      </c>
      <c r="O45" s="8">
        <v>57.33</v>
      </c>
      <c r="P45" s="8">
        <v>55.29</v>
      </c>
      <c r="Q45" s="8">
        <v>49.61</v>
      </c>
      <c r="R45" s="9">
        <v>92.7</v>
      </c>
    </row>
    <row r="46" spans="1:18" ht="12.75">
      <c r="A46" s="100">
        <f t="shared" si="0"/>
        <v>41</v>
      </c>
      <c r="B46" s="4" t="s">
        <v>939</v>
      </c>
      <c r="C46" s="8">
        <v>200.8</v>
      </c>
      <c r="D46" s="8">
        <v>185.7</v>
      </c>
      <c r="E46" s="8">
        <v>145.8</v>
      </c>
      <c r="F46" s="8">
        <v>104.43</v>
      </c>
      <c r="G46" s="8">
        <v>98.75</v>
      </c>
      <c r="H46" s="8">
        <v>84.62</v>
      </c>
      <c r="I46" s="8">
        <v>78.94</v>
      </c>
      <c r="J46" s="8">
        <v>158.7</v>
      </c>
      <c r="K46" s="8">
        <v>104.9</v>
      </c>
      <c r="L46" s="8">
        <v>129</v>
      </c>
      <c r="M46" s="8">
        <v>85.38</v>
      </c>
      <c r="N46" s="8">
        <v>66.05</v>
      </c>
      <c r="O46" s="8">
        <v>60.37</v>
      </c>
      <c r="P46" s="8">
        <v>57.91</v>
      </c>
      <c r="Q46" s="8">
        <v>52.23</v>
      </c>
      <c r="R46" s="9">
        <v>94.3</v>
      </c>
    </row>
    <row r="47" spans="1:18" ht="12.75">
      <c r="A47" s="100">
        <f t="shared" si="0"/>
        <v>42</v>
      </c>
      <c r="B47" s="4" t="s">
        <v>940</v>
      </c>
      <c r="C47" s="8">
        <v>202.8</v>
      </c>
      <c r="D47" s="8">
        <v>187.7</v>
      </c>
      <c r="E47" s="8">
        <v>149.3</v>
      </c>
      <c r="F47" s="8">
        <v>107.92</v>
      </c>
      <c r="G47" s="8">
        <v>102.24</v>
      </c>
      <c r="H47" s="8">
        <v>87.63</v>
      </c>
      <c r="I47" s="8">
        <v>81.95</v>
      </c>
      <c r="J47" s="8">
        <v>162.2</v>
      </c>
      <c r="K47" s="8">
        <v>108.4</v>
      </c>
      <c r="L47" s="8">
        <v>132.5</v>
      </c>
      <c r="M47" s="8">
        <v>87.8</v>
      </c>
      <c r="N47" s="8">
        <v>68.49</v>
      </c>
      <c r="O47" s="8">
        <v>62.81</v>
      </c>
      <c r="P47" s="8">
        <v>60.01</v>
      </c>
      <c r="Q47" s="8">
        <v>54.33</v>
      </c>
      <c r="R47" s="9">
        <v>95.7</v>
      </c>
    </row>
    <row r="48" spans="1:18" ht="12.75">
      <c r="A48" s="100">
        <f t="shared" si="0"/>
        <v>43</v>
      </c>
      <c r="B48" s="4" t="s">
        <v>941</v>
      </c>
      <c r="C48" s="8">
        <v>201.8</v>
      </c>
      <c r="D48" s="8">
        <v>186.7</v>
      </c>
      <c r="E48" s="8">
        <v>149.3</v>
      </c>
      <c r="F48" s="8">
        <v>107.92</v>
      </c>
      <c r="G48" s="8">
        <v>102.24</v>
      </c>
      <c r="H48" s="8">
        <v>87.63</v>
      </c>
      <c r="I48" s="8">
        <v>81.95</v>
      </c>
      <c r="J48" s="8">
        <v>162.2</v>
      </c>
      <c r="K48" s="8">
        <v>110.4</v>
      </c>
      <c r="L48" s="8">
        <v>134.5</v>
      </c>
      <c r="M48" s="8">
        <v>90.3</v>
      </c>
      <c r="N48" s="8">
        <v>70.99</v>
      </c>
      <c r="O48" s="8">
        <v>65.31</v>
      </c>
      <c r="P48" s="8">
        <v>62.17</v>
      </c>
      <c r="Q48" s="8">
        <v>56.49</v>
      </c>
      <c r="R48" s="9">
        <v>96.7</v>
      </c>
    </row>
    <row r="49" spans="1:18" ht="12.75">
      <c r="A49" s="100">
        <f t="shared" si="0"/>
        <v>44</v>
      </c>
      <c r="B49" s="4" t="s">
        <v>942</v>
      </c>
      <c r="C49" s="8">
        <v>203.8</v>
      </c>
      <c r="D49" s="8">
        <v>187.7</v>
      </c>
      <c r="E49" s="8">
        <v>147</v>
      </c>
      <c r="F49" s="8">
        <v>105.52</v>
      </c>
      <c r="G49" s="8">
        <v>99.84</v>
      </c>
      <c r="H49" s="8">
        <v>85.56</v>
      </c>
      <c r="I49" s="8">
        <v>79.88</v>
      </c>
      <c r="J49" s="8">
        <v>160.6</v>
      </c>
      <c r="K49" s="8">
        <v>110.4</v>
      </c>
      <c r="L49" s="8">
        <v>134.5</v>
      </c>
      <c r="M49" s="8">
        <v>88.8</v>
      </c>
      <c r="N49" s="8">
        <v>69.49</v>
      </c>
      <c r="O49" s="8">
        <v>63.81</v>
      </c>
      <c r="P49" s="8">
        <v>60.67</v>
      </c>
      <c r="Q49" s="8">
        <v>54.99</v>
      </c>
      <c r="R49" s="9">
        <v>96.7</v>
      </c>
    </row>
    <row r="50" spans="1:18" ht="12.75">
      <c r="A50" s="100">
        <f t="shared" si="0"/>
        <v>45</v>
      </c>
      <c r="B50" s="4" t="s">
        <v>943</v>
      </c>
      <c r="C50" s="8">
        <v>202.8</v>
      </c>
      <c r="D50" s="8">
        <v>186.7</v>
      </c>
      <c r="E50" s="8">
        <v>145.5</v>
      </c>
      <c r="F50" s="8">
        <v>102.85</v>
      </c>
      <c r="G50" s="8">
        <v>97.17</v>
      </c>
      <c r="H50" s="8">
        <v>83.26</v>
      </c>
      <c r="I50" s="8">
        <v>77.58</v>
      </c>
      <c r="J50" s="8">
        <v>159.1</v>
      </c>
      <c r="K50" s="8">
        <v>108.9</v>
      </c>
      <c r="L50" s="8">
        <v>133</v>
      </c>
      <c r="M50" s="8">
        <v>86.79</v>
      </c>
      <c r="N50" s="8">
        <v>65.39</v>
      </c>
      <c r="O50" s="8">
        <v>59.71</v>
      </c>
      <c r="P50" s="8">
        <v>57.34</v>
      </c>
      <c r="Q50" s="8">
        <v>51.66</v>
      </c>
      <c r="R50" s="9">
        <v>95.1</v>
      </c>
    </row>
    <row r="51" spans="1:18" ht="12.75">
      <c r="A51" s="100">
        <f t="shared" si="0"/>
        <v>46</v>
      </c>
      <c r="B51" s="4" t="s">
        <v>944</v>
      </c>
      <c r="C51" s="8">
        <v>200.8</v>
      </c>
      <c r="D51" s="8">
        <v>185.2</v>
      </c>
      <c r="E51" s="8">
        <v>142.5</v>
      </c>
      <c r="F51" s="8">
        <v>119.89</v>
      </c>
      <c r="G51" s="8">
        <v>114.21</v>
      </c>
      <c r="H51" s="8">
        <v>119.48</v>
      </c>
      <c r="I51" s="8">
        <v>113.8</v>
      </c>
      <c r="J51" s="8">
        <v>156.1</v>
      </c>
      <c r="K51" s="8">
        <v>106.9</v>
      </c>
      <c r="L51" s="8">
        <v>130</v>
      </c>
      <c r="M51" s="8">
        <v>85.3</v>
      </c>
      <c r="N51" s="8">
        <v>82.38</v>
      </c>
      <c r="O51" s="8">
        <v>76.7</v>
      </c>
      <c r="P51" s="8">
        <v>82.24</v>
      </c>
      <c r="Q51" s="8">
        <v>76.56</v>
      </c>
      <c r="R51" s="9">
        <v>94.1</v>
      </c>
    </row>
    <row r="52" spans="1:18" ht="12.75">
      <c r="A52" s="100">
        <f t="shared" si="0"/>
        <v>47</v>
      </c>
      <c r="B52" s="4" t="s">
        <v>945</v>
      </c>
      <c r="C52" s="8">
        <v>196.8</v>
      </c>
      <c r="D52" s="8">
        <v>181.2</v>
      </c>
      <c r="E52" s="8">
        <v>140.5</v>
      </c>
      <c r="F52" s="8">
        <v>117.1</v>
      </c>
      <c r="G52" s="8">
        <v>111.42</v>
      </c>
      <c r="H52" s="8">
        <v>117.1</v>
      </c>
      <c r="I52" s="8">
        <v>111.42</v>
      </c>
      <c r="J52" s="8">
        <v>154.1</v>
      </c>
      <c r="K52" s="8">
        <v>104.9</v>
      </c>
      <c r="L52" s="8">
        <v>128.5</v>
      </c>
      <c r="M52" s="8">
        <v>84.3</v>
      </c>
      <c r="N52" s="8">
        <v>81.8</v>
      </c>
      <c r="O52" s="8">
        <v>76.12</v>
      </c>
      <c r="P52" s="8">
        <v>81.8</v>
      </c>
      <c r="Q52" s="8">
        <v>76.12</v>
      </c>
      <c r="R52" s="9">
        <v>93.1</v>
      </c>
    </row>
    <row r="53" spans="1:18" ht="12.75">
      <c r="A53" s="100">
        <f t="shared" si="0"/>
        <v>48</v>
      </c>
      <c r="B53" s="4" t="s">
        <v>946</v>
      </c>
      <c r="C53" s="8">
        <v>196.8</v>
      </c>
      <c r="D53" s="8">
        <v>181.2</v>
      </c>
      <c r="E53" s="8">
        <v>142.5</v>
      </c>
      <c r="F53" s="8">
        <v>119.1</v>
      </c>
      <c r="G53" s="8">
        <v>113.42</v>
      </c>
      <c r="H53" s="8">
        <v>119.1</v>
      </c>
      <c r="I53" s="8">
        <v>113.42</v>
      </c>
      <c r="J53" s="8">
        <v>156.1</v>
      </c>
      <c r="K53" s="8">
        <v>105.9</v>
      </c>
      <c r="L53" s="8">
        <v>130</v>
      </c>
      <c r="M53" s="8">
        <v>85.8</v>
      </c>
      <c r="N53" s="8">
        <v>83.3</v>
      </c>
      <c r="O53" s="8">
        <v>77.62</v>
      </c>
      <c r="P53" s="8">
        <v>83.3</v>
      </c>
      <c r="Q53" s="8">
        <v>7.62</v>
      </c>
      <c r="R53" s="9">
        <v>93.1</v>
      </c>
    </row>
    <row r="54" spans="1:18" ht="12.75">
      <c r="A54" s="100">
        <f t="shared" si="0"/>
        <v>49</v>
      </c>
      <c r="B54" s="4" t="s">
        <v>947</v>
      </c>
      <c r="C54" s="8">
        <v>199.8</v>
      </c>
      <c r="D54" s="8">
        <v>184.2</v>
      </c>
      <c r="E54" s="8">
        <v>145</v>
      </c>
      <c r="F54" s="8">
        <v>120.49</v>
      </c>
      <c r="G54" s="8">
        <v>114.81</v>
      </c>
      <c r="H54" s="8">
        <v>120.49</v>
      </c>
      <c r="I54" s="8">
        <v>114.81</v>
      </c>
      <c r="J54" s="8">
        <v>158.6</v>
      </c>
      <c r="K54" s="8">
        <v>107.9</v>
      </c>
      <c r="L54" s="8">
        <v>132</v>
      </c>
      <c r="M54" s="8">
        <v>87.8</v>
      </c>
      <c r="N54" s="8">
        <v>85.7</v>
      </c>
      <c r="O54" s="8">
        <v>80.02</v>
      </c>
      <c r="P54" s="8">
        <v>85.7</v>
      </c>
      <c r="Q54" s="8">
        <v>80.02</v>
      </c>
      <c r="R54" s="9">
        <v>95.1</v>
      </c>
    </row>
    <row r="55" spans="1:18" ht="12.75">
      <c r="A55" s="100">
        <f t="shared" si="0"/>
        <v>50</v>
      </c>
      <c r="B55" s="4" t="s">
        <v>948</v>
      </c>
      <c r="C55" s="8">
        <v>202.8</v>
      </c>
      <c r="D55" s="8">
        <v>187.2</v>
      </c>
      <c r="E55" s="8">
        <v>149</v>
      </c>
      <c r="F55" s="8">
        <v>127.49</v>
      </c>
      <c r="G55" s="8">
        <v>121.81</v>
      </c>
      <c r="H55" s="8">
        <v>127.49</v>
      </c>
      <c r="I55" s="8">
        <v>121.81</v>
      </c>
      <c r="J55" s="8">
        <v>163.6</v>
      </c>
      <c r="K55" s="8">
        <v>111.9</v>
      </c>
      <c r="L55" s="8">
        <v>137</v>
      </c>
      <c r="M55" s="8">
        <v>92.8</v>
      </c>
      <c r="N55" s="8">
        <v>91.7</v>
      </c>
      <c r="O55" s="8">
        <v>86.02</v>
      </c>
      <c r="P55" s="8">
        <v>91.7</v>
      </c>
      <c r="Q55" s="8">
        <v>86.02</v>
      </c>
      <c r="R55" s="9">
        <v>100.1</v>
      </c>
    </row>
    <row r="56" spans="1:18" ht="12.75">
      <c r="A56" s="100">
        <f t="shared" si="0"/>
        <v>51</v>
      </c>
      <c r="B56" s="4" t="s">
        <v>949</v>
      </c>
      <c r="C56" s="8">
        <v>205.8</v>
      </c>
      <c r="D56" s="8">
        <v>190.2</v>
      </c>
      <c r="E56" s="8">
        <v>152</v>
      </c>
      <c r="F56" s="8">
        <v>130.49</v>
      </c>
      <c r="G56" s="8">
        <v>124.81</v>
      </c>
      <c r="H56" s="8">
        <v>130.49</v>
      </c>
      <c r="I56" s="8">
        <v>124.81</v>
      </c>
      <c r="J56" s="8">
        <v>166.6</v>
      </c>
      <c r="K56" s="8">
        <v>114.9</v>
      </c>
      <c r="L56" s="8">
        <v>140</v>
      </c>
      <c r="M56" s="8">
        <v>95.8</v>
      </c>
      <c r="N56" s="8">
        <v>94.7</v>
      </c>
      <c r="O56" s="8">
        <v>89.02</v>
      </c>
      <c r="P56" s="8">
        <v>94.7</v>
      </c>
      <c r="Q56" s="8">
        <v>89.02</v>
      </c>
      <c r="R56" s="9">
        <v>100.1</v>
      </c>
    </row>
    <row r="57" spans="1:18" ht="12.75">
      <c r="A57" s="100">
        <f t="shared" si="0"/>
        <v>52</v>
      </c>
      <c r="B57" s="4" t="s">
        <v>950</v>
      </c>
      <c r="C57" s="8">
        <v>205.8</v>
      </c>
      <c r="D57" s="8">
        <v>190.2</v>
      </c>
      <c r="E57" s="8">
        <v>152</v>
      </c>
      <c r="F57" s="8">
        <v>130.49</v>
      </c>
      <c r="G57" s="8">
        <v>124.81</v>
      </c>
      <c r="H57" s="8">
        <v>130.49</v>
      </c>
      <c r="I57" s="8">
        <v>124.81</v>
      </c>
      <c r="J57" s="8">
        <v>166.6</v>
      </c>
      <c r="K57" s="8">
        <v>114.9</v>
      </c>
      <c r="L57" s="8">
        <v>140</v>
      </c>
      <c r="M57" s="8">
        <v>95.8</v>
      </c>
      <c r="N57" s="8">
        <v>94.7</v>
      </c>
      <c r="O57" s="8">
        <v>89.02</v>
      </c>
      <c r="P57" s="8">
        <v>94.7</v>
      </c>
      <c r="Q57" s="8">
        <v>89.02</v>
      </c>
      <c r="R57" s="9">
        <v>100.1</v>
      </c>
    </row>
    <row r="58" spans="2:18" ht="13.5" thickBot="1">
      <c r="B58" s="123" t="s">
        <v>65</v>
      </c>
      <c r="C58" s="126">
        <f>AVERAGE(C6:C57)</f>
        <v>193.07884615384597</v>
      </c>
      <c r="D58" s="126">
        <f aca="true" t="shared" si="1" ref="D58:R58">AVERAGE(D6:D57)</f>
        <v>175.8153846153847</v>
      </c>
      <c r="E58" s="126">
        <f t="shared" si="1"/>
        <v>134.60000000000002</v>
      </c>
      <c r="F58" s="126">
        <f t="shared" si="1"/>
        <v>96.655</v>
      </c>
      <c r="G58" s="126">
        <f>AVERAGE(G6:G57)</f>
        <v>91.59038461538465</v>
      </c>
      <c r="H58" s="126">
        <f t="shared" si="1"/>
        <v>79.56192307692307</v>
      </c>
      <c r="I58" s="126">
        <f t="shared" si="1"/>
        <v>75.74749999999999</v>
      </c>
      <c r="J58" s="126">
        <f t="shared" si="1"/>
        <v>147.76730769230778</v>
      </c>
      <c r="K58" s="126">
        <f t="shared" si="1"/>
        <v>95.77499999999995</v>
      </c>
      <c r="L58" s="126">
        <f t="shared" si="1"/>
        <v>118.81153846153848</v>
      </c>
      <c r="M58" s="126">
        <f t="shared" si="1"/>
        <v>74.38711538461544</v>
      </c>
      <c r="N58" s="126">
        <f t="shared" si="1"/>
        <v>57.36923076923074</v>
      </c>
      <c r="O58" s="126">
        <f t="shared" si="1"/>
        <v>52.27576923076923</v>
      </c>
      <c r="P58" s="126">
        <f t="shared" si="1"/>
        <v>51.83711538461538</v>
      </c>
      <c r="Q58" s="126">
        <f t="shared" si="1"/>
        <v>45.39749999999999</v>
      </c>
      <c r="R58" s="126">
        <f t="shared" si="1"/>
        <v>88.30576923076924</v>
      </c>
    </row>
    <row r="59" ht="13.5" thickTop="1"/>
    <row r="60" ht="12.75">
      <c r="B60" s="99"/>
    </row>
    <row r="61" ht="12.75">
      <c r="B61" s="98"/>
    </row>
    <row r="62" ht="12.75">
      <c r="B62" s="98"/>
    </row>
  </sheetData>
  <sheetProtection/>
  <mergeCells count="4">
    <mergeCell ref="A1:R1"/>
    <mergeCell ref="A3:R3"/>
    <mergeCell ref="C4:R4"/>
    <mergeCell ref="A2:R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4" sqref="D34"/>
    </sheetView>
  </sheetViews>
  <sheetFormatPr defaultColWidth="11.421875" defaultRowHeight="12.75"/>
  <cols>
    <col min="1" max="1" width="2.57421875" style="0" customWidth="1"/>
    <col min="2" max="2" width="29.0039062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421875" style="0" customWidth="1"/>
    <col min="7" max="8" width="9.421875" style="0" customWidth="1"/>
    <col min="9" max="9" width="9.281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6" customWidth="1"/>
  </cols>
  <sheetData>
    <row r="1" spans="1:18" ht="18">
      <c r="A1" s="143" t="s">
        <v>958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>
      <c r="A2" s="148" t="s">
        <v>1048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2.75">
      <c r="A3" s="144" t="s">
        <v>985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12.75">
      <c r="B4" s="123" t="s">
        <v>973</v>
      </c>
      <c r="C4" s="145" t="s">
        <v>16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2:18" ht="45">
      <c r="B5" s="124" t="s">
        <v>919</v>
      </c>
      <c r="C5" s="124" t="s">
        <v>0</v>
      </c>
      <c r="D5" s="124" t="s">
        <v>1</v>
      </c>
      <c r="E5" s="124" t="s">
        <v>2</v>
      </c>
      <c r="F5" s="124" t="s">
        <v>291</v>
      </c>
      <c r="G5" s="124" t="s">
        <v>292</v>
      </c>
      <c r="H5" s="124" t="s">
        <v>5</v>
      </c>
      <c r="I5" s="124" t="s">
        <v>6</v>
      </c>
      <c r="J5" s="124" t="s">
        <v>695</v>
      </c>
      <c r="K5" s="124" t="s">
        <v>10</v>
      </c>
      <c r="L5" s="124" t="s">
        <v>19</v>
      </c>
      <c r="M5" s="124" t="s">
        <v>296</v>
      </c>
      <c r="N5" s="124" t="s">
        <v>12</v>
      </c>
      <c r="O5" s="124" t="s">
        <v>13</v>
      </c>
      <c r="P5" s="124" t="s">
        <v>297</v>
      </c>
      <c r="Q5" s="124" t="s">
        <v>15</v>
      </c>
      <c r="R5" s="125" t="s">
        <v>75</v>
      </c>
    </row>
    <row r="6" spans="1:18" ht="12.75">
      <c r="A6" s="122">
        <v>1</v>
      </c>
      <c r="B6" s="4" t="s">
        <v>981</v>
      </c>
      <c r="C6" s="8">
        <v>210.8</v>
      </c>
      <c r="D6" s="8">
        <v>195.2</v>
      </c>
      <c r="E6" s="8">
        <v>154</v>
      </c>
      <c r="F6" s="8">
        <v>133.49</v>
      </c>
      <c r="G6" s="8">
        <v>127.81</v>
      </c>
      <c r="H6" s="8">
        <v>133.49</v>
      </c>
      <c r="I6" s="8">
        <v>127.81</v>
      </c>
      <c r="J6" s="8">
        <v>168.6</v>
      </c>
      <c r="K6" s="8">
        <v>116.9</v>
      </c>
      <c r="L6" s="8">
        <v>142</v>
      </c>
      <c r="M6" s="8">
        <v>97.8</v>
      </c>
      <c r="N6" s="8">
        <v>97.2</v>
      </c>
      <c r="O6" s="8">
        <v>91.52</v>
      </c>
      <c r="P6" s="8">
        <v>97.2</v>
      </c>
      <c r="Q6" s="8">
        <v>91.52</v>
      </c>
      <c r="R6" s="6">
        <v>103.1</v>
      </c>
    </row>
    <row r="7" spans="1:18" ht="12.75">
      <c r="A7" s="122">
        <f>A6+1</f>
        <v>2</v>
      </c>
      <c r="B7" s="4" t="s">
        <v>967</v>
      </c>
      <c r="C7" s="8">
        <v>214.8</v>
      </c>
      <c r="D7" s="8">
        <v>199.2</v>
      </c>
      <c r="E7" s="8">
        <v>154</v>
      </c>
      <c r="F7" s="8">
        <v>133.49</v>
      </c>
      <c r="G7" s="8">
        <v>127.81</v>
      </c>
      <c r="H7" s="8">
        <v>133.49</v>
      </c>
      <c r="I7" s="8">
        <v>127.81</v>
      </c>
      <c r="J7" s="8">
        <v>168.6</v>
      </c>
      <c r="K7" s="8">
        <v>116.9</v>
      </c>
      <c r="L7" s="8">
        <v>142</v>
      </c>
      <c r="M7" s="8">
        <v>97.8</v>
      </c>
      <c r="N7" s="8">
        <v>97.2</v>
      </c>
      <c r="O7" s="8">
        <v>91.52</v>
      </c>
      <c r="P7" s="8">
        <v>97.2</v>
      </c>
      <c r="Q7" s="8">
        <v>91.52</v>
      </c>
      <c r="R7" s="9">
        <v>106.1</v>
      </c>
    </row>
    <row r="8" spans="1:18" ht="12.75">
      <c r="A8" s="122">
        <f>A7+1</f>
        <v>3</v>
      </c>
      <c r="B8" s="4" t="s">
        <v>968</v>
      </c>
      <c r="C8" s="8">
        <v>213.3</v>
      </c>
      <c r="D8" s="8">
        <v>197.7</v>
      </c>
      <c r="E8" s="8">
        <v>152</v>
      </c>
      <c r="F8" s="8">
        <v>131.49</v>
      </c>
      <c r="G8" s="8">
        <v>125.81</v>
      </c>
      <c r="H8" s="8">
        <v>131.49</v>
      </c>
      <c r="I8" s="8">
        <v>125.81</v>
      </c>
      <c r="J8" s="8">
        <v>166.5</v>
      </c>
      <c r="K8" s="8">
        <v>114.9</v>
      </c>
      <c r="L8" s="8">
        <v>140</v>
      </c>
      <c r="M8" s="8">
        <v>96.8</v>
      </c>
      <c r="N8" s="8">
        <v>96.2</v>
      </c>
      <c r="O8" s="8">
        <v>90.52</v>
      </c>
      <c r="P8" s="8">
        <v>96.2</v>
      </c>
      <c r="Q8" s="8">
        <v>90.52</v>
      </c>
      <c r="R8" s="9">
        <v>104.6</v>
      </c>
    </row>
    <row r="9" spans="1:18" ht="12.75">
      <c r="A9" s="122">
        <f aca="true" t="shared" si="0" ref="A9:A57">A8+1</f>
        <v>4</v>
      </c>
      <c r="B9" s="4" t="s">
        <v>979</v>
      </c>
      <c r="C9" s="8">
        <v>212.3</v>
      </c>
      <c r="D9" s="8">
        <v>196.7</v>
      </c>
      <c r="E9" s="8">
        <v>151</v>
      </c>
      <c r="F9" s="8">
        <v>130.49</v>
      </c>
      <c r="G9" s="8">
        <v>124.81</v>
      </c>
      <c r="H9" s="8">
        <v>130.49</v>
      </c>
      <c r="I9" s="8">
        <v>124.81</v>
      </c>
      <c r="J9" s="8">
        <v>164.6</v>
      </c>
      <c r="K9" s="8">
        <v>113.9</v>
      </c>
      <c r="L9" s="8">
        <v>139</v>
      </c>
      <c r="M9" s="8">
        <v>95.8</v>
      </c>
      <c r="N9" s="8">
        <v>95.2</v>
      </c>
      <c r="O9" s="8">
        <v>89.52</v>
      </c>
      <c r="P9" s="8">
        <v>95.2</v>
      </c>
      <c r="Q9" s="8">
        <v>89.52</v>
      </c>
      <c r="R9" s="9">
        <v>103.6</v>
      </c>
    </row>
    <row r="10" spans="1:18" ht="12.75">
      <c r="A10" s="122">
        <f t="shared" si="0"/>
        <v>5</v>
      </c>
      <c r="B10" s="4" t="s">
        <v>966</v>
      </c>
      <c r="C10" s="8">
        <v>212.3</v>
      </c>
      <c r="D10" s="8">
        <v>196.7</v>
      </c>
      <c r="E10" s="8">
        <v>151</v>
      </c>
      <c r="F10" s="8">
        <v>130.49</v>
      </c>
      <c r="G10" s="8">
        <v>124.81</v>
      </c>
      <c r="H10" s="8">
        <v>130.49</v>
      </c>
      <c r="I10" s="8">
        <v>124.81</v>
      </c>
      <c r="J10" s="8">
        <v>164.6</v>
      </c>
      <c r="K10" s="8">
        <v>113.9</v>
      </c>
      <c r="L10" s="8">
        <v>139</v>
      </c>
      <c r="M10" s="8">
        <v>95.8</v>
      </c>
      <c r="N10" s="8">
        <v>95.2</v>
      </c>
      <c r="O10" s="8">
        <v>89.52</v>
      </c>
      <c r="P10" s="8">
        <v>95.2</v>
      </c>
      <c r="Q10" s="8">
        <v>89.52</v>
      </c>
      <c r="R10" s="9">
        <v>105</v>
      </c>
    </row>
    <row r="11" spans="1:18" ht="12.75">
      <c r="A11" s="122">
        <f t="shared" si="0"/>
        <v>6</v>
      </c>
      <c r="B11" s="4" t="s">
        <v>969</v>
      </c>
      <c r="C11" s="8">
        <v>212.3</v>
      </c>
      <c r="D11" s="8">
        <v>196.7</v>
      </c>
      <c r="E11" s="8">
        <v>151</v>
      </c>
      <c r="F11" s="8">
        <v>130.49</v>
      </c>
      <c r="G11" s="8">
        <v>124.81</v>
      </c>
      <c r="H11" s="8">
        <v>130.49</v>
      </c>
      <c r="I11" s="8">
        <v>124.81</v>
      </c>
      <c r="J11" s="8">
        <v>164.6</v>
      </c>
      <c r="K11" s="8">
        <v>113.9</v>
      </c>
      <c r="L11" s="8">
        <v>139</v>
      </c>
      <c r="M11" s="8">
        <v>95.8</v>
      </c>
      <c r="N11" s="8">
        <v>95.2</v>
      </c>
      <c r="O11" s="8">
        <v>89.52</v>
      </c>
      <c r="P11" s="8">
        <v>95.2</v>
      </c>
      <c r="Q11" s="8">
        <v>89.52</v>
      </c>
      <c r="R11" s="9">
        <v>108</v>
      </c>
    </row>
    <row r="12" spans="1:18" ht="12.75">
      <c r="A12" s="122">
        <f t="shared" si="0"/>
        <v>7</v>
      </c>
      <c r="B12" s="4" t="s">
        <v>970</v>
      </c>
      <c r="C12" s="8">
        <v>214.3</v>
      </c>
      <c r="D12" s="8">
        <v>198.7</v>
      </c>
      <c r="E12" s="8">
        <v>153</v>
      </c>
      <c r="F12" s="8">
        <v>132.49</v>
      </c>
      <c r="G12" s="8">
        <v>126.81</v>
      </c>
      <c r="H12" s="8">
        <v>132.49</v>
      </c>
      <c r="I12" s="8">
        <v>126.81</v>
      </c>
      <c r="J12" s="8">
        <v>166.6</v>
      </c>
      <c r="K12" s="8">
        <v>115.9</v>
      </c>
      <c r="L12" s="8">
        <v>141</v>
      </c>
      <c r="M12" s="8">
        <v>95.8</v>
      </c>
      <c r="N12" s="8">
        <v>95.2</v>
      </c>
      <c r="O12" s="8">
        <v>89.52</v>
      </c>
      <c r="P12" s="8">
        <v>95.2</v>
      </c>
      <c r="Q12" s="8">
        <v>89.52</v>
      </c>
      <c r="R12" s="9">
        <v>108</v>
      </c>
    </row>
    <row r="13" spans="1:18" ht="12.75">
      <c r="A13" s="122">
        <f t="shared" si="0"/>
        <v>8</v>
      </c>
      <c r="B13" s="4" t="s">
        <v>982</v>
      </c>
      <c r="C13" s="8">
        <v>214.3</v>
      </c>
      <c r="D13" s="8">
        <v>198.7</v>
      </c>
      <c r="E13" s="8">
        <v>153</v>
      </c>
      <c r="F13" s="8">
        <v>132.49</v>
      </c>
      <c r="G13" s="8">
        <v>126.81</v>
      </c>
      <c r="H13" s="8">
        <v>132.49</v>
      </c>
      <c r="I13" s="8">
        <v>126.81</v>
      </c>
      <c r="J13" s="8">
        <v>166.6</v>
      </c>
      <c r="K13" s="8">
        <v>115.9</v>
      </c>
      <c r="L13" s="8">
        <v>141</v>
      </c>
      <c r="M13" s="8">
        <v>95.8</v>
      </c>
      <c r="N13" s="8">
        <v>95.2</v>
      </c>
      <c r="O13" s="8">
        <v>89.52</v>
      </c>
      <c r="P13" s="8">
        <v>95.2</v>
      </c>
      <c r="Q13" s="8">
        <v>89.52</v>
      </c>
      <c r="R13" s="9">
        <v>111</v>
      </c>
    </row>
    <row r="14" spans="1:18" ht="12.75">
      <c r="A14" s="122">
        <f t="shared" si="0"/>
        <v>9</v>
      </c>
      <c r="B14" s="4" t="s">
        <v>980</v>
      </c>
      <c r="C14" s="8">
        <v>214.3</v>
      </c>
      <c r="D14" s="8">
        <v>198.7</v>
      </c>
      <c r="E14" s="8">
        <v>154</v>
      </c>
      <c r="F14" s="8">
        <v>132.49</v>
      </c>
      <c r="G14" s="8">
        <v>126.81</v>
      </c>
      <c r="H14" s="8">
        <v>132.49</v>
      </c>
      <c r="I14" s="8">
        <v>126.81</v>
      </c>
      <c r="J14" s="8">
        <v>166.6</v>
      </c>
      <c r="K14" s="8">
        <v>117.9</v>
      </c>
      <c r="L14" s="8">
        <v>144</v>
      </c>
      <c r="M14" s="8">
        <v>97.3</v>
      </c>
      <c r="N14" s="8">
        <v>95.2</v>
      </c>
      <c r="O14" s="8">
        <v>89.52</v>
      </c>
      <c r="P14" s="8">
        <v>95.2</v>
      </c>
      <c r="Q14" s="8">
        <v>89.52</v>
      </c>
      <c r="R14" s="9">
        <v>109.5</v>
      </c>
    </row>
    <row r="15" spans="1:18" ht="12.75">
      <c r="A15" s="122">
        <f t="shared" si="0"/>
        <v>10</v>
      </c>
      <c r="B15" s="4" t="s">
        <v>959</v>
      </c>
      <c r="C15" s="8">
        <v>215.8</v>
      </c>
      <c r="D15" s="8">
        <v>200.2</v>
      </c>
      <c r="E15" s="8">
        <v>155</v>
      </c>
      <c r="F15" s="8">
        <v>132.49</v>
      </c>
      <c r="G15" s="8">
        <v>126.81</v>
      </c>
      <c r="H15" s="8">
        <v>132.49</v>
      </c>
      <c r="I15" s="8">
        <v>126.81</v>
      </c>
      <c r="J15" s="8">
        <v>167.6</v>
      </c>
      <c r="K15" s="8">
        <v>117.9</v>
      </c>
      <c r="L15" s="8">
        <v>144</v>
      </c>
      <c r="M15" s="8">
        <v>98.8</v>
      </c>
      <c r="N15" s="8">
        <v>96.7</v>
      </c>
      <c r="O15" s="8">
        <v>91.02</v>
      </c>
      <c r="P15" s="8">
        <v>96.7</v>
      </c>
      <c r="Q15" s="8">
        <v>91.02</v>
      </c>
      <c r="R15" s="9">
        <v>105.5</v>
      </c>
    </row>
    <row r="16" spans="1:18" ht="12.75">
      <c r="A16" s="122">
        <f t="shared" si="0"/>
        <v>11</v>
      </c>
      <c r="B16" s="4" t="s">
        <v>960</v>
      </c>
      <c r="C16" s="17">
        <v>212.8</v>
      </c>
      <c r="D16" s="17">
        <v>197.2</v>
      </c>
      <c r="E16" s="17">
        <v>153</v>
      </c>
      <c r="F16" s="17">
        <v>129.49</v>
      </c>
      <c r="G16" s="17">
        <v>123.81</v>
      </c>
      <c r="H16" s="17">
        <v>129.49</v>
      </c>
      <c r="I16" s="17">
        <v>123.81</v>
      </c>
      <c r="J16" s="17">
        <v>164.6</v>
      </c>
      <c r="K16" s="17">
        <v>115.9</v>
      </c>
      <c r="L16" s="17">
        <v>141</v>
      </c>
      <c r="M16" s="17">
        <v>97.3</v>
      </c>
      <c r="N16" s="17">
        <v>94.7</v>
      </c>
      <c r="O16" s="17">
        <v>89.02</v>
      </c>
      <c r="P16" s="17">
        <v>94.7</v>
      </c>
      <c r="Q16" s="17">
        <v>89.02</v>
      </c>
      <c r="R16" s="18">
        <v>100.5</v>
      </c>
    </row>
    <row r="17" spans="1:18" ht="12.75">
      <c r="A17" s="122">
        <f t="shared" si="0"/>
        <v>12</v>
      </c>
      <c r="B17" s="4" t="s">
        <v>971</v>
      </c>
      <c r="C17" s="17">
        <v>210.8</v>
      </c>
      <c r="D17" s="17">
        <v>195.7</v>
      </c>
      <c r="E17" s="17">
        <v>148</v>
      </c>
      <c r="F17" s="17">
        <v>124.49</v>
      </c>
      <c r="G17" s="17">
        <v>118.81</v>
      </c>
      <c r="H17" s="17">
        <v>124.49</v>
      </c>
      <c r="I17" s="17">
        <v>118.81</v>
      </c>
      <c r="J17" s="17">
        <v>155.6</v>
      </c>
      <c r="K17" s="17">
        <v>111.9</v>
      </c>
      <c r="L17" s="17">
        <v>137</v>
      </c>
      <c r="M17" s="17">
        <v>92.3</v>
      </c>
      <c r="N17" s="17">
        <v>90.2</v>
      </c>
      <c r="O17" s="17">
        <v>84.52</v>
      </c>
      <c r="P17" s="17">
        <v>90.2</v>
      </c>
      <c r="Q17" s="17">
        <v>84.52</v>
      </c>
      <c r="R17" s="18">
        <v>100.5</v>
      </c>
    </row>
    <row r="18" spans="1:18" ht="12.75">
      <c r="A18" s="122">
        <f t="shared" si="0"/>
        <v>13</v>
      </c>
      <c r="B18" s="4" t="s">
        <v>962</v>
      </c>
      <c r="C18" s="17">
        <v>212.8</v>
      </c>
      <c r="D18" s="17">
        <v>197.7</v>
      </c>
      <c r="E18" s="17">
        <v>148</v>
      </c>
      <c r="F18" s="17">
        <v>124.49</v>
      </c>
      <c r="G18" s="17">
        <v>118.81</v>
      </c>
      <c r="H18" s="17">
        <v>124.49</v>
      </c>
      <c r="I18" s="17">
        <v>118.81</v>
      </c>
      <c r="J18" s="17">
        <v>155.6</v>
      </c>
      <c r="K18" s="17">
        <v>111.9</v>
      </c>
      <c r="L18" s="17">
        <v>137</v>
      </c>
      <c r="M18" s="17">
        <v>92.3</v>
      </c>
      <c r="N18" s="17">
        <v>90.2</v>
      </c>
      <c r="O18" s="17">
        <v>84.52</v>
      </c>
      <c r="P18" s="17">
        <v>90.2</v>
      </c>
      <c r="Q18" s="17">
        <v>84.52</v>
      </c>
      <c r="R18" s="18">
        <v>98.5</v>
      </c>
    </row>
    <row r="19" spans="1:18" ht="12.75">
      <c r="A19" s="122">
        <f t="shared" si="0"/>
        <v>14</v>
      </c>
      <c r="B19" s="4" t="s">
        <v>961</v>
      </c>
      <c r="C19" s="17">
        <v>214.8</v>
      </c>
      <c r="D19" s="17">
        <v>198.7</v>
      </c>
      <c r="E19" s="17">
        <v>149</v>
      </c>
      <c r="F19" s="17">
        <v>125.49</v>
      </c>
      <c r="G19" s="17">
        <v>119.81</v>
      </c>
      <c r="H19" s="17">
        <v>125.49</v>
      </c>
      <c r="I19" s="17">
        <v>119.81</v>
      </c>
      <c r="J19" s="17">
        <v>160.6</v>
      </c>
      <c r="K19" s="17">
        <v>111.9</v>
      </c>
      <c r="L19" s="17">
        <v>137</v>
      </c>
      <c r="M19" s="17">
        <v>91.3</v>
      </c>
      <c r="N19" s="17">
        <v>89.2</v>
      </c>
      <c r="O19" s="17">
        <v>83.52</v>
      </c>
      <c r="P19" s="17">
        <v>89.2</v>
      </c>
      <c r="Q19" s="17">
        <v>83.52</v>
      </c>
      <c r="R19" s="18">
        <v>97.5</v>
      </c>
    </row>
    <row r="20" spans="1:18" ht="12.75">
      <c r="A20" s="122">
        <f t="shared" si="0"/>
        <v>15</v>
      </c>
      <c r="B20" s="4" t="s">
        <v>963</v>
      </c>
      <c r="C20" s="17">
        <v>218.8</v>
      </c>
      <c r="D20" s="17">
        <v>202.7</v>
      </c>
      <c r="E20" s="17">
        <v>152</v>
      </c>
      <c r="F20" s="17">
        <v>128.49</v>
      </c>
      <c r="G20" s="17">
        <v>122.81</v>
      </c>
      <c r="H20" s="17">
        <v>128.49</v>
      </c>
      <c r="I20" s="17">
        <v>122.81</v>
      </c>
      <c r="J20" s="17">
        <v>163.6</v>
      </c>
      <c r="K20" s="17">
        <v>114.9</v>
      </c>
      <c r="L20" s="17">
        <v>140</v>
      </c>
      <c r="M20" s="17">
        <v>94.3</v>
      </c>
      <c r="N20" s="17">
        <v>92.2</v>
      </c>
      <c r="O20" s="17">
        <v>86.52</v>
      </c>
      <c r="P20" s="17">
        <v>92.2</v>
      </c>
      <c r="Q20" s="17">
        <v>86.52</v>
      </c>
      <c r="R20" s="18">
        <v>98.5</v>
      </c>
    </row>
    <row r="21" spans="1:18" ht="12.75">
      <c r="A21" s="122">
        <f t="shared" si="0"/>
        <v>16</v>
      </c>
      <c r="B21" s="4" t="s">
        <v>964</v>
      </c>
      <c r="C21" s="17">
        <v>221.3</v>
      </c>
      <c r="D21" s="17">
        <v>205.2</v>
      </c>
      <c r="E21" s="17">
        <v>154</v>
      </c>
      <c r="F21" s="17">
        <v>130.49</v>
      </c>
      <c r="G21" s="17">
        <v>124.81</v>
      </c>
      <c r="H21" s="17">
        <v>130.49</v>
      </c>
      <c r="I21" s="17">
        <v>124.81</v>
      </c>
      <c r="J21" s="17">
        <v>165.6</v>
      </c>
      <c r="K21" s="17">
        <v>117.9</v>
      </c>
      <c r="L21" s="17">
        <v>143</v>
      </c>
      <c r="M21" s="17">
        <v>96.05</v>
      </c>
      <c r="N21" s="17">
        <v>93.95</v>
      </c>
      <c r="O21" s="17">
        <v>88.27</v>
      </c>
      <c r="P21" s="17">
        <v>93.95</v>
      </c>
      <c r="Q21" s="17">
        <v>88.27</v>
      </c>
      <c r="R21" s="18">
        <v>100.5</v>
      </c>
    </row>
    <row r="22" spans="1:18" ht="12.75">
      <c r="A22" s="122">
        <f t="shared" si="0"/>
        <v>17</v>
      </c>
      <c r="B22" s="4" t="s">
        <v>965</v>
      </c>
      <c r="C22" s="17">
        <v>219.8</v>
      </c>
      <c r="D22" s="17">
        <v>203.7</v>
      </c>
      <c r="E22" s="17">
        <v>154</v>
      </c>
      <c r="F22" s="17">
        <v>131.49</v>
      </c>
      <c r="G22" s="17">
        <v>125.81</v>
      </c>
      <c r="H22" s="17">
        <v>131.49</v>
      </c>
      <c r="I22" s="17">
        <v>125.81</v>
      </c>
      <c r="J22" s="17">
        <v>166.6</v>
      </c>
      <c r="K22" s="17">
        <v>117.9</v>
      </c>
      <c r="L22" s="17">
        <v>143</v>
      </c>
      <c r="M22" s="17">
        <v>97.05</v>
      </c>
      <c r="N22" s="17">
        <v>94.95</v>
      </c>
      <c r="O22" s="17">
        <v>89.27</v>
      </c>
      <c r="P22" s="17">
        <v>94.95</v>
      </c>
      <c r="Q22" s="17">
        <v>89.27</v>
      </c>
      <c r="R22" s="18">
        <v>102.5</v>
      </c>
    </row>
    <row r="23" spans="1:18" ht="12.75">
      <c r="A23" s="122">
        <f t="shared" si="0"/>
        <v>18</v>
      </c>
      <c r="B23" s="4" t="s">
        <v>990</v>
      </c>
      <c r="C23" s="17">
        <v>216.8</v>
      </c>
      <c r="D23" s="17">
        <v>200.7</v>
      </c>
      <c r="E23" s="17">
        <v>147</v>
      </c>
      <c r="F23" s="17">
        <v>124.49</v>
      </c>
      <c r="G23" s="17">
        <v>118.81</v>
      </c>
      <c r="H23" s="17">
        <v>124.49</v>
      </c>
      <c r="I23" s="17">
        <v>118.81</v>
      </c>
      <c r="J23" s="17">
        <v>161.6</v>
      </c>
      <c r="K23" s="17">
        <v>112.9</v>
      </c>
      <c r="L23" s="17">
        <v>137</v>
      </c>
      <c r="M23" s="17">
        <v>94.05</v>
      </c>
      <c r="N23" s="17">
        <v>91.95</v>
      </c>
      <c r="O23" s="17">
        <v>86.27</v>
      </c>
      <c r="P23" s="17">
        <v>91.95</v>
      </c>
      <c r="Q23" s="17">
        <v>86.27</v>
      </c>
      <c r="R23" s="18">
        <v>100.5</v>
      </c>
    </row>
    <row r="24" spans="1:18" ht="12.75">
      <c r="A24" s="122">
        <f t="shared" si="0"/>
        <v>19</v>
      </c>
      <c r="B24" s="4" t="s">
        <v>972</v>
      </c>
      <c r="C24" s="17">
        <v>212.8</v>
      </c>
      <c r="D24" s="17">
        <v>196.7</v>
      </c>
      <c r="E24" s="17">
        <v>143</v>
      </c>
      <c r="F24" s="17">
        <v>120.49</v>
      </c>
      <c r="G24" s="17">
        <v>114.81</v>
      </c>
      <c r="H24" s="17">
        <v>120.49</v>
      </c>
      <c r="I24" s="17">
        <v>114.81</v>
      </c>
      <c r="J24" s="17">
        <v>157.6</v>
      </c>
      <c r="K24" s="17">
        <v>108.9</v>
      </c>
      <c r="L24" s="17">
        <v>133</v>
      </c>
      <c r="M24" s="17">
        <v>93.05</v>
      </c>
      <c r="N24" s="17">
        <v>90.95</v>
      </c>
      <c r="O24" s="17">
        <v>85.27</v>
      </c>
      <c r="P24" s="17">
        <v>90.95</v>
      </c>
      <c r="Q24" s="17">
        <v>85.27</v>
      </c>
      <c r="R24" s="18">
        <v>99.5</v>
      </c>
    </row>
    <row r="25" spans="1:19" ht="12.75">
      <c r="A25" s="122">
        <f t="shared" si="0"/>
        <v>20</v>
      </c>
      <c r="B25" s="4" t="s">
        <v>974</v>
      </c>
      <c r="C25" s="17">
        <v>210.8</v>
      </c>
      <c r="D25" s="17">
        <v>195.7</v>
      </c>
      <c r="E25" s="17">
        <v>141</v>
      </c>
      <c r="F25" s="17">
        <v>118.49</v>
      </c>
      <c r="G25" s="17">
        <v>112.81</v>
      </c>
      <c r="H25" s="17">
        <v>118.49</v>
      </c>
      <c r="I25" s="17">
        <v>112.81</v>
      </c>
      <c r="J25" s="17">
        <v>155.6</v>
      </c>
      <c r="K25" s="17">
        <v>105.9</v>
      </c>
      <c r="L25" s="17">
        <v>130</v>
      </c>
      <c r="M25" s="17">
        <v>92.05</v>
      </c>
      <c r="N25" s="17">
        <v>89.95</v>
      </c>
      <c r="O25" s="17">
        <v>84.27</v>
      </c>
      <c r="P25" s="17">
        <v>89.95</v>
      </c>
      <c r="Q25" s="17">
        <v>84.27</v>
      </c>
      <c r="R25" s="18">
        <v>99.5</v>
      </c>
      <c r="S25" s="97"/>
    </row>
    <row r="26" spans="1:18" ht="12.75">
      <c r="A26" s="122">
        <f t="shared" si="0"/>
        <v>21</v>
      </c>
      <c r="B26" s="4" t="s">
        <v>977</v>
      </c>
      <c r="C26" s="8">
        <v>212.8</v>
      </c>
      <c r="D26" s="8">
        <v>197.7</v>
      </c>
      <c r="E26" s="8">
        <v>142</v>
      </c>
      <c r="F26" s="8">
        <v>119.49</v>
      </c>
      <c r="G26" s="8">
        <v>113.81</v>
      </c>
      <c r="H26" s="8">
        <v>119.49</v>
      </c>
      <c r="I26" s="8">
        <v>113.81</v>
      </c>
      <c r="J26" s="8">
        <v>157.6</v>
      </c>
      <c r="K26" s="8">
        <v>105.9</v>
      </c>
      <c r="L26" s="8">
        <v>130</v>
      </c>
      <c r="M26" s="8">
        <v>95.05</v>
      </c>
      <c r="N26" s="8">
        <v>92.95</v>
      </c>
      <c r="O26" s="8">
        <v>87.27</v>
      </c>
      <c r="P26" s="8">
        <v>92.95</v>
      </c>
      <c r="Q26" s="8">
        <v>87.27</v>
      </c>
      <c r="R26" s="9">
        <v>99.5</v>
      </c>
    </row>
    <row r="27" spans="1:18" ht="12.75">
      <c r="A27" s="122">
        <f t="shared" si="0"/>
        <v>22</v>
      </c>
      <c r="B27" s="4" t="s">
        <v>978</v>
      </c>
      <c r="C27" s="8">
        <v>216.8</v>
      </c>
      <c r="D27" s="8">
        <v>201.7</v>
      </c>
      <c r="E27" s="8">
        <v>146</v>
      </c>
      <c r="F27" s="8">
        <v>123.49</v>
      </c>
      <c r="G27" s="8">
        <v>117.81</v>
      </c>
      <c r="H27" s="8">
        <v>123.49</v>
      </c>
      <c r="I27" s="8">
        <v>117.81</v>
      </c>
      <c r="J27" s="8">
        <v>161.6</v>
      </c>
      <c r="K27" s="8">
        <v>109.9</v>
      </c>
      <c r="L27" s="8">
        <v>135</v>
      </c>
      <c r="M27" s="8">
        <v>97.05</v>
      </c>
      <c r="N27" s="8">
        <v>94.95</v>
      </c>
      <c r="O27" s="8">
        <v>89.27</v>
      </c>
      <c r="P27" s="8">
        <v>94.95</v>
      </c>
      <c r="Q27" s="8">
        <v>89.27</v>
      </c>
      <c r="R27" s="9">
        <v>101</v>
      </c>
    </row>
    <row r="28" spans="1:18" ht="12.75">
      <c r="A28" s="122">
        <f t="shared" si="0"/>
        <v>23</v>
      </c>
      <c r="B28" s="4" t="s">
        <v>975</v>
      </c>
      <c r="C28" s="8">
        <v>215.3</v>
      </c>
      <c r="D28" s="8">
        <v>200.2</v>
      </c>
      <c r="E28" s="8">
        <v>144.5</v>
      </c>
      <c r="F28" s="8">
        <v>121.99</v>
      </c>
      <c r="G28" s="8">
        <v>116.31</v>
      </c>
      <c r="H28" s="8">
        <v>121.99</v>
      </c>
      <c r="I28" s="8">
        <v>116.31</v>
      </c>
      <c r="J28" s="8">
        <v>160.6</v>
      </c>
      <c r="K28" s="8">
        <v>112.9</v>
      </c>
      <c r="L28" s="8">
        <v>138</v>
      </c>
      <c r="M28" s="8">
        <v>95.55</v>
      </c>
      <c r="N28" s="8">
        <v>93.45</v>
      </c>
      <c r="O28" s="8">
        <v>87.77</v>
      </c>
      <c r="P28" s="8">
        <v>93.45</v>
      </c>
      <c r="Q28" s="8">
        <v>87.77</v>
      </c>
      <c r="R28" s="9">
        <v>101</v>
      </c>
    </row>
    <row r="29" spans="1:18" ht="12.75">
      <c r="A29" s="122">
        <f t="shared" si="0"/>
        <v>24</v>
      </c>
      <c r="B29" s="4" t="s">
        <v>976</v>
      </c>
      <c r="C29" s="8">
        <v>212.8</v>
      </c>
      <c r="D29" s="8">
        <v>197.7</v>
      </c>
      <c r="E29" s="8">
        <v>140.5</v>
      </c>
      <c r="F29" s="8">
        <v>117.99</v>
      </c>
      <c r="G29" s="8">
        <v>112.31</v>
      </c>
      <c r="H29" s="8">
        <v>117.99</v>
      </c>
      <c r="I29" s="8">
        <v>112.31</v>
      </c>
      <c r="J29" s="8">
        <v>156.6</v>
      </c>
      <c r="K29" s="8">
        <v>108.9</v>
      </c>
      <c r="L29" s="8">
        <v>133</v>
      </c>
      <c r="M29" s="8">
        <v>93.05</v>
      </c>
      <c r="N29" s="8">
        <v>90.95</v>
      </c>
      <c r="O29" s="8">
        <v>85.27</v>
      </c>
      <c r="P29" s="8">
        <v>90.95</v>
      </c>
      <c r="Q29" s="9">
        <v>85.27</v>
      </c>
      <c r="R29" s="9">
        <v>99.5</v>
      </c>
    </row>
    <row r="30" spans="1:18" ht="12.75">
      <c r="A30" s="122">
        <f t="shared" si="0"/>
        <v>25</v>
      </c>
      <c r="B30" s="4" t="s">
        <v>983</v>
      </c>
      <c r="C30" s="8">
        <v>208.8</v>
      </c>
      <c r="D30" s="8">
        <v>193.7</v>
      </c>
      <c r="E30" s="8">
        <v>137.5</v>
      </c>
      <c r="F30" s="8">
        <v>114.99</v>
      </c>
      <c r="G30" s="8">
        <v>109.31</v>
      </c>
      <c r="H30" s="8">
        <v>114.99</v>
      </c>
      <c r="I30" s="8">
        <v>109.31</v>
      </c>
      <c r="J30" s="8">
        <v>154.6</v>
      </c>
      <c r="K30" s="8">
        <v>105.9</v>
      </c>
      <c r="L30" s="8">
        <v>130</v>
      </c>
      <c r="M30" s="8">
        <v>91.55</v>
      </c>
      <c r="N30" s="8">
        <v>89.45</v>
      </c>
      <c r="O30" s="8">
        <v>83.77</v>
      </c>
      <c r="P30" s="8">
        <v>89.45</v>
      </c>
      <c r="Q30" s="8">
        <v>83.77</v>
      </c>
      <c r="R30" s="9">
        <v>98</v>
      </c>
    </row>
    <row r="31" spans="1:18" ht="12.75">
      <c r="A31" s="122">
        <f t="shared" si="0"/>
        <v>26</v>
      </c>
      <c r="B31" s="4" t="s">
        <v>984</v>
      </c>
      <c r="C31" s="8">
        <v>207.3</v>
      </c>
      <c r="D31" s="8">
        <v>191.7</v>
      </c>
      <c r="E31" s="8">
        <v>136.5</v>
      </c>
      <c r="F31" s="8">
        <v>113.99</v>
      </c>
      <c r="G31" s="8">
        <v>108.31</v>
      </c>
      <c r="H31" s="8">
        <v>113.99</v>
      </c>
      <c r="I31" s="8">
        <v>108.31</v>
      </c>
      <c r="J31" s="8">
        <v>153.6</v>
      </c>
      <c r="K31" s="8">
        <v>104.9</v>
      </c>
      <c r="L31" s="8">
        <v>129</v>
      </c>
      <c r="M31" s="8">
        <v>90.55</v>
      </c>
      <c r="N31" s="8">
        <v>87.95</v>
      </c>
      <c r="O31" s="8">
        <v>82.27</v>
      </c>
      <c r="P31" s="8">
        <v>87.95</v>
      </c>
      <c r="Q31" s="8">
        <v>82.27</v>
      </c>
      <c r="R31" s="9">
        <v>97</v>
      </c>
    </row>
    <row r="32" spans="1:18" ht="12.75">
      <c r="A32" s="122">
        <f t="shared" si="0"/>
        <v>27</v>
      </c>
      <c r="B32" s="4" t="s">
        <v>986</v>
      </c>
      <c r="C32" s="8">
        <v>203.3</v>
      </c>
      <c r="D32" s="8">
        <v>189.2</v>
      </c>
      <c r="E32" s="8">
        <v>138</v>
      </c>
      <c r="F32" s="8">
        <v>115.49</v>
      </c>
      <c r="G32" s="8">
        <v>109.81</v>
      </c>
      <c r="H32" s="8">
        <v>115.49</v>
      </c>
      <c r="I32" s="8">
        <v>109.81</v>
      </c>
      <c r="J32" s="8">
        <v>152.1</v>
      </c>
      <c r="K32" s="8">
        <v>102.4</v>
      </c>
      <c r="L32" s="8">
        <v>126</v>
      </c>
      <c r="M32" s="8">
        <v>90.55</v>
      </c>
      <c r="N32" s="8">
        <v>87.95</v>
      </c>
      <c r="O32" s="8">
        <v>82.27</v>
      </c>
      <c r="P32" s="8">
        <v>87.95</v>
      </c>
      <c r="Q32" s="8">
        <v>82.27</v>
      </c>
      <c r="R32" s="9">
        <v>96</v>
      </c>
    </row>
    <row r="33" spans="1:18" ht="12.75">
      <c r="A33" s="122">
        <f t="shared" si="0"/>
        <v>28</v>
      </c>
      <c r="B33" s="4" t="s">
        <v>987</v>
      </c>
      <c r="C33" s="8">
        <v>204.3</v>
      </c>
      <c r="D33" s="8">
        <v>191.2</v>
      </c>
      <c r="E33" s="8">
        <v>142</v>
      </c>
      <c r="F33" s="8">
        <v>118.99</v>
      </c>
      <c r="G33" s="8">
        <v>113.31</v>
      </c>
      <c r="H33" s="8">
        <v>118.99</v>
      </c>
      <c r="I33" s="8">
        <v>113.31</v>
      </c>
      <c r="J33" s="8">
        <v>154.1</v>
      </c>
      <c r="K33" s="8">
        <v>104.4</v>
      </c>
      <c r="L33" s="8">
        <v>128</v>
      </c>
      <c r="M33" s="8">
        <v>93.05</v>
      </c>
      <c r="N33" s="8">
        <v>90.45</v>
      </c>
      <c r="O33" s="8">
        <v>84.77</v>
      </c>
      <c r="P33" s="8">
        <v>90.45</v>
      </c>
      <c r="Q33" s="8">
        <v>84.77</v>
      </c>
      <c r="R33" s="9">
        <v>98</v>
      </c>
    </row>
    <row r="34" spans="1:18" ht="12.75">
      <c r="A34" s="122">
        <f t="shared" si="0"/>
        <v>29</v>
      </c>
      <c r="B34" s="4" t="s">
        <v>988</v>
      </c>
      <c r="C34" s="8">
        <v>206.3</v>
      </c>
      <c r="D34" s="8">
        <v>193.2</v>
      </c>
      <c r="E34" s="8">
        <v>142</v>
      </c>
      <c r="F34" s="8">
        <v>118.99</v>
      </c>
      <c r="G34" s="8">
        <v>113.31</v>
      </c>
      <c r="H34" s="8">
        <v>118.99</v>
      </c>
      <c r="I34" s="8">
        <v>113.31</v>
      </c>
      <c r="J34" s="8">
        <v>155.1</v>
      </c>
      <c r="K34" s="8">
        <v>105.4</v>
      </c>
      <c r="L34" s="8">
        <v>130</v>
      </c>
      <c r="M34" s="8">
        <v>93.05</v>
      </c>
      <c r="N34" s="8">
        <v>90.45</v>
      </c>
      <c r="O34" s="8">
        <v>84.77</v>
      </c>
      <c r="P34" s="8">
        <v>90.45</v>
      </c>
      <c r="Q34" s="8">
        <v>84.77</v>
      </c>
      <c r="R34" s="9">
        <v>99</v>
      </c>
    </row>
    <row r="35" spans="1:18" ht="12.75">
      <c r="A35" s="122">
        <f t="shared" si="0"/>
        <v>30</v>
      </c>
      <c r="B35" s="4" t="s">
        <v>989</v>
      </c>
      <c r="C35" s="8">
        <v>208.3</v>
      </c>
      <c r="D35" s="8">
        <v>195.2</v>
      </c>
      <c r="E35" s="8">
        <v>145</v>
      </c>
      <c r="F35" s="8">
        <v>122.49</v>
      </c>
      <c r="G35" s="8">
        <v>116.81</v>
      </c>
      <c r="H35" s="8">
        <v>122.49</v>
      </c>
      <c r="I35" s="8">
        <v>116.81</v>
      </c>
      <c r="J35" s="8">
        <v>157.6</v>
      </c>
      <c r="K35" s="8">
        <v>108.9</v>
      </c>
      <c r="L35" s="8">
        <v>133</v>
      </c>
      <c r="M35" s="8">
        <v>96.05</v>
      </c>
      <c r="N35" s="8">
        <v>93.95</v>
      </c>
      <c r="O35" s="8">
        <v>88.27</v>
      </c>
      <c r="P35" s="8">
        <v>93.95</v>
      </c>
      <c r="Q35" s="8">
        <v>88.27</v>
      </c>
      <c r="R35" s="9">
        <v>101</v>
      </c>
    </row>
    <row r="36" spans="1:18" ht="12.75">
      <c r="A36" s="122">
        <f t="shared" si="0"/>
        <v>31</v>
      </c>
      <c r="B36" s="4" t="s">
        <v>991</v>
      </c>
      <c r="C36" s="8">
        <v>208.3</v>
      </c>
      <c r="D36" s="8">
        <v>195.2</v>
      </c>
      <c r="E36" s="8">
        <v>147</v>
      </c>
      <c r="F36" s="8">
        <v>124.49</v>
      </c>
      <c r="G36" s="8">
        <v>118.81</v>
      </c>
      <c r="H36" s="8">
        <v>124.49</v>
      </c>
      <c r="I36" s="8">
        <v>118.81</v>
      </c>
      <c r="J36" s="8">
        <v>159.1</v>
      </c>
      <c r="K36" s="8">
        <v>115.4</v>
      </c>
      <c r="L36" s="8">
        <v>140</v>
      </c>
      <c r="M36" s="8">
        <v>96.05</v>
      </c>
      <c r="N36" s="8">
        <v>93.95</v>
      </c>
      <c r="O36" s="8">
        <v>88.27</v>
      </c>
      <c r="P36" s="8">
        <v>93.95</v>
      </c>
      <c r="Q36" s="8">
        <v>88.27</v>
      </c>
      <c r="R36" s="9">
        <v>102.5</v>
      </c>
    </row>
    <row r="37" spans="1:18" ht="12.75">
      <c r="A37" s="122">
        <f t="shared" si="0"/>
        <v>32</v>
      </c>
      <c r="B37" s="4" t="s">
        <v>992</v>
      </c>
      <c r="C37" s="8">
        <v>213.3</v>
      </c>
      <c r="D37" s="8">
        <v>199.2</v>
      </c>
      <c r="E37" s="8">
        <v>151</v>
      </c>
      <c r="F37" s="8">
        <v>128.49</v>
      </c>
      <c r="G37" s="8">
        <v>122.81</v>
      </c>
      <c r="H37" s="8">
        <v>128.49</v>
      </c>
      <c r="I37" s="8">
        <v>122.81</v>
      </c>
      <c r="J37" s="8">
        <v>164.1</v>
      </c>
      <c r="K37" s="8">
        <v>119.4</v>
      </c>
      <c r="L37" s="8">
        <v>145</v>
      </c>
      <c r="M37" s="8">
        <v>98.05</v>
      </c>
      <c r="N37" s="8">
        <v>95.45</v>
      </c>
      <c r="O37" s="8">
        <v>89.77</v>
      </c>
      <c r="P37" s="8">
        <v>95.45</v>
      </c>
      <c r="Q37" s="8">
        <v>89.77</v>
      </c>
      <c r="R37" s="9">
        <v>105.5</v>
      </c>
    </row>
    <row r="38" spans="1:18" ht="12.75">
      <c r="A38" s="122">
        <f t="shared" si="0"/>
        <v>33</v>
      </c>
      <c r="B38" s="4" t="s">
        <v>993</v>
      </c>
      <c r="C38" s="8">
        <v>212.3</v>
      </c>
      <c r="D38" s="8">
        <v>198.2</v>
      </c>
      <c r="E38" s="8">
        <v>150</v>
      </c>
      <c r="F38" s="8">
        <v>127.49</v>
      </c>
      <c r="G38" s="8">
        <v>121.81</v>
      </c>
      <c r="H38" s="8">
        <v>127.49</v>
      </c>
      <c r="I38" s="8">
        <v>121.81</v>
      </c>
      <c r="J38" s="8">
        <v>163.1</v>
      </c>
      <c r="K38" s="8">
        <v>119.4</v>
      </c>
      <c r="L38" s="8">
        <v>145</v>
      </c>
      <c r="M38" s="8">
        <v>98.05</v>
      </c>
      <c r="N38" s="8">
        <v>95.45</v>
      </c>
      <c r="O38" s="8">
        <v>89.77</v>
      </c>
      <c r="P38" s="8">
        <v>95.45</v>
      </c>
      <c r="Q38" s="8">
        <v>89.77</v>
      </c>
      <c r="R38" s="9">
        <v>105.5</v>
      </c>
    </row>
    <row r="39" spans="1:20" ht="12.75">
      <c r="A39" s="122">
        <f t="shared" si="0"/>
        <v>34</v>
      </c>
      <c r="B39" s="4" t="s">
        <v>994</v>
      </c>
      <c r="C39" s="8">
        <v>209.8</v>
      </c>
      <c r="D39" s="8">
        <v>195.7</v>
      </c>
      <c r="E39" s="8">
        <v>149</v>
      </c>
      <c r="F39" s="8">
        <v>126.49</v>
      </c>
      <c r="G39" s="8">
        <v>120.81</v>
      </c>
      <c r="H39" s="8">
        <v>126.49</v>
      </c>
      <c r="I39" s="8">
        <v>120.81</v>
      </c>
      <c r="J39" s="8">
        <v>162.1</v>
      </c>
      <c r="K39" s="8">
        <v>117.9</v>
      </c>
      <c r="L39" s="8">
        <v>142.5</v>
      </c>
      <c r="M39" s="8">
        <v>96.05</v>
      </c>
      <c r="N39" s="8">
        <v>93.95</v>
      </c>
      <c r="O39" s="8">
        <v>88.27</v>
      </c>
      <c r="P39" s="8">
        <v>93.95</v>
      </c>
      <c r="Q39" s="8">
        <v>88.27</v>
      </c>
      <c r="R39" s="9">
        <v>106.8</v>
      </c>
      <c r="T39" s="111"/>
    </row>
    <row r="40" spans="1:20" ht="12.75">
      <c r="A40" s="122">
        <f t="shared" si="0"/>
        <v>35</v>
      </c>
      <c r="B40" s="4" t="s">
        <v>995</v>
      </c>
      <c r="C40" s="8">
        <v>209.8</v>
      </c>
      <c r="D40" s="8">
        <v>195.7</v>
      </c>
      <c r="E40" s="8">
        <v>150</v>
      </c>
      <c r="F40" s="8">
        <v>127.69</v>
      </c>
      <c r="G40" s="8">
        <v>122.01</v>
      </c>
      <c r="H40" s="8">
        <v>127.69</v>
      </c>
      <c r="I40" s="8">
        <v>122.01</v>
      </c>
      <c r="J40" s="8">
        <v>161.6</v>
      </c>
      <c r="K40" s="8">
        <v>118.9</v>
      </c>
      <c r="L40" s="8">
        <v>143.75</v>
      </c>
      <c r="M40" s="8">
        <v>96.05</v>
      </c>
      <c r="N40" s="8">
        <v>93.95</v>
      </c>
      <c r="O40" s="8">
        <v>88.27</v>
      </c>
      <c r="P40" s="8">
        <v>93.95</v>
      </c>
      <c r="Q40" s="8">
        <v>88.27</v>
      </c>
      <c r="R40" s="9">
        <v>107.3</v>
      </c>
      <c r="T40" s="111"/>
    </row>
    <row r="41" spans="1:20" ht="12.75">
      <c r="A41" s="122">
        <f t="shared" si="0"/>
        <v>36</v>
      </c>
      <c r="B41" s="4" t="s">
        <v>997</v>
      </c>
      <c r="C41" s="8">
        <v>214.8</v>
      </c>
      <c r="D41" s="8">
        <v>200.7</v>
      </c>
      <c r="E41" s="8">
        <v>152</v>
      </c>
      <c r="F41" s="8">
        <v>129.69</v>
      </c>
      <c r="G41" s="8">
        <v>124.01</v>
      </c>
      <c r="H41" s="8">
        <v>124.69</v>
      </c>
      <c r="I41" s="8">
        <v>124.01</v>
      </c>
      <c r="J41" s="8">
        <v>164.6</v>
      </c>
      <c r="K41" s="8">
        <v>125.9</v>
      </c>
      <c r="L41" s="8">
        <v>151.3</v>
      </c>
      <c r="M41" s="8">
        <v>97.35</v>
      </c>
      <c r="N41" s="8">
        <v>94.95</v>
      </c>
      <c r="O41" s="8">
        <v>89.27</v>
      </c>
      <c r="P41" s="8">
        <v>94.95</v>
      </c>
      <c r="Q41" s="8">
        <v>89.27</v>
      </c>
      <c r="R41" s="9">
        <v>107.8</v>
      </c>
      <c r="T41" s="111"/>
    </row>
    <row r="42" spans="1:20" ht="12.75">
      <c r="A42" s="122">
        <f t="shared" si="0"/>
        <v>37</v>
      </c>
      <c r="B42" s="4" t="s">
        <v>998</v>
      </c>
      <c r="C42" s="8">
        <v>221.8</v>
      </c>
      <c r="D42" s="8">
        <v>207.7</v>
      </c>
      <c r="E42" s="8">
        <v>154.5</v>
      </c>
      <c r="F42" s="8">
        <v>132.19</v>
      </c>
      <c r="G42" s="8">
        <v>126.51</v>
      </c>
      <c r="H42" s="8">
        <v>132.19</v>
      </c>
      <c r="I42" s="8">
        <v>126.51</v>
      </c>
      <c r="J42" s="8">
        <v>169.6</v>
      </c>
      <c r="K42" s="8">
        <v>131.9</v>
      </c>
      <c r="L42" s="8">
        <v>157.8</v>
      </c>
      <c r="M42" s="8">
        <v>99.35</v>
      </c>
      <c r="N42" s="8">
        <v>96.95</v>
      </c>
      <c r="O42" s="8">
        <v>91.27</v>
      </c>
      <c r="P42" s="8">
        <v>96.95</v>
      </c>
      <c r="Q42" s="8">
        <v>91.27</v>
      </c>
      <c r="R42" s="9">
        <v>108.8</v>
      </c>
      <c r="T42" s="111"/>
    </row>
    <row r="43" spans="1:20" ht="12.75">
      <c r="A43" s="122">
        <f t="shared" si="0"/>
        <v>38</v>
      </c>
      <c r="B43" s="4" t="s">
        <v>999</v>
      </c>
      <c r="C43" s="8">
        <v>220.3</v>
      </c>
      <c r="D43" s="8">
        <v>205.7</v>
      </c>
      <c r="E43" s="8">
        <v>158.5</v>
      </c>
      <c r="F43" s="8">
        <v>135.69</v>
      </c>
      <c r="G43" s="8">
        <v>130.01</v>
      </c>
      <c r="H43" s="8">
        <v>135.69</v>
      </c>
      <c r="I43" s="8">
        <v>130.01</v>
      </c>
      <c r="J43" s="8">
        <v>174.6</v>
      </c>
      <c r="K43" s="8">
        <v>129.4</v>
      </c>
      <c r="L43" s="8">
        <v>155.3</v>
      </c>
      <c r="M43" s="8">
        <v>100.85</v>
      </c>
      <c r="N43" s="8">
        <v>98.45</v>
      </c>
      <c r="O43" s="8">
        <v>92.77</v>
      </c>
      <c r="P43" s="8">
        <v>98.45</v>
      </c>
      <c r="Q43" s="8">
        <v>92.77</v>
      </c>
      <c r="R43" s="9">
        <v>111.8</v>
      </c>
      <c r="T43" s="111"/>
    </row>
    <row r="44" spans="1:20" ht="12.75">
      <c r="A44" s="122">
        <f t="shared" si="0"/>
        <v>39</v>
      </c>
      <c r="B44" s="4" t="s">
        <v>996</v>
      </c>
      <c r="C44" s="8">
        <v>216.3</v>
      </c>
      <c r="D44" s="8">
        <v>201.7</v>
      </c>
      <c r="E44" s="8">
        <v>159.5</v>
      </c>
      <c r="F44" s="8">
        <v>136.69</v>
      </c>
      <c r="G44" s="8">
        <v>131.01</v>
      </c>
      <c r="H44" s="8">
        <v>136.69</v>
      </c>
      <c r="I44" s="8">
        <v>131.01</v>
      </c>
      <c r="J44" s="8">
        <v>173.6</v>
      </c>
      <c r="K44" s="8">
        <v>127.4</v>
      </c>
      <c r="L44" s="8">
        <v>153.3</v>
      </c>
      <c r="M44" s="8">
        <v>101.85</v>
      </c>
      <c r="N44" s="8">
        <v>99.45</v>
      </c>
      <c r="O44" s="8">
        <v>93.77</v>
      </c>
      <c r="P44" s="8">
        <v>99.45</v>
      </c>
      <c r="Q44" s="8">
        <v>93.77</v>
      </c>
      <c r="R44" s="9">
        <v>113.8</v>
      </c>
      <c r="S44" s="17"/>
      <c r="T44" s="111"/>
    </row>
    <row r="45" spans="1:20" ht="12.75">
      <c r="A45" s="122">
        <f t="shared" si="0"/>
        <v>40</v>
      </c>
      <c r="B45" s="4" t="s">
        <v>1002</v>
      </c>
      <c r="C45" s="8">
        <v>215.3</v>
      </c>
      <c r="D45" s="8">
        <v>201.7</v>
      </c>
      <c r="E45" s="8">
        <v>159.5</v>
      </c>
      <c r="F45" s="8">
        <v>137.69</v>
      </c>
      <c r="G45" s="8">
        <v>132.01</v>
      </c>
      <c r="H45" s="8">
        <v>137.69</v>
      </c>
      <c r="I45" s="8">
        <v>132.01</v>
      </c>
      <c r="J45" s="8">
        <v>175.6</v>
      </c>
      <c r="K45" s="8">
        <v>127.4</v>
      </c>
      <c r="L45" s="8">
        <v>152.3</v>
      </c>
      <c r="M45" s="8">
        <v>100.85</v>
      </c>
      <c r="N45" s="8">
        <v>98.45</v>
      </c>
      <c r="O45" s="8">
        <v>92.77</v>
      </c>
      <c r="P45" s="8">
        <v>98.45</v>
      </c>
      <c r="Q45" s="8">
        <v>92.77</v>
      </c>
      <c r="R45" s="9">
        <v>113.8</v>
      </c>
      <c r="T45" s="111"/>
    </row>
    <row r="46" spans="1:20" ht="12.75">
      <c r="A46" s="122">
        <f t="shared" si="0"/>
        <v>41</v>
      </c>
      <c r="B46" s="4" t="s">
        <v>1000</v>
      </c>
      <c r="C46" s="8">
        <v>211.3</v>
      </c>
      <c r="D46" s="8">
        <v>196.7</v>
      </c>
      <c r="E46" s="8">
        <v>155.5</v>
      </c>
      <c r="F46" s="8">
        <v>133.69</v>
      </c>
      <c r="G46" s="8">
        <v>128.01</v>
      </c>
      <c r="H46" s="8">
        <v>133.69</v>
      </c>
      <c r="I46" s="8">
        <v>128.01</v>
      </c>
      <c r="J46" s="8">
        <v>172.6</v>
      </c>
      <c r="K46" s="8">
        <v>124.4</v>
      </c>
      <c r="L46" s="8">
        <v>150.3</v>
      </c>
      <c r="M46" s="8">
        <v>99.85</v>
      </c>
      <c r="N46" s="8">
        <v>97.45</v>
      </c>
      <c r="O46" s="8">
        <v>91.77</v>
      </c>
      <c r="P46" s="8">
        <v>97.45</v>
      </c>
      <c r="Q46" s="8">
        <v>91.77</v>
      </c>
      <c r="R46" s="9">
        <v>113.8</v>
      </c>
      <c r="T46" s="111"/>
    </row>
    <row r="47" spans="1:20" ht="12.75">
      <c r="A47" s="122">
        <f t="shared" si="0"/>
        <v>42</v>
      </c>
      <c r="B47" s="4" t="s">
        <v>1001</v>
      </c>
      <c r="C47" s="8">
        <v>210.3</v>
      </c>
      <c r="D47" s="8">
        <v>196.7</v>
      </c>
      <c r="E47" s="8">
        <v>153.5</v>
      </c>
      <c r="F47" s="8">
        <v>131.69</v>
      </c>
      <c r="G47" s="8">
        <v>126.01</v>
      </c>
      <c r="H47" s="8">
        <v>131.69</v>
      </c>
      <c r="I47" s="8">
        <v>126.01</v>
      </c>
      <c r="J47" s="8">
        <v>170.6</v>
      </c>
      <c r="K47" s="8">
        <v>122.9</v>
      </c>
      <c r="L47" s="8">
        <v>148.3</v>
      </c>
      <c r="M47" s="8">
        <v>99.85</v>
      </c>
      <c r="N47" s="8">
        <v>97.45</v>
      </c>
      <c r="O47" s="8">
        <v>91.77</v>
      </c>
      <c r="P47" s="8">
        <v>97.45</v>
      </c>
      <c r="Q47" s="8">
        <v>91.77</v>
      </c>
      <c r="R47" s="9">
        <v>113.8</v>
      </c>
      <c r="T47" s="111"/>
    </row>
    <row r="48" spans="1:20" ht="12.75">
      <c r="A48" s="122">
        <f t="shared" si="0"/>
        <v>43</v>
      </c>
      <c r="B48" s="4" t="s">
        <v>1003</v>
      </c>
      <c r="C48" s="8">
        <v>211.8</v>
      </c>
      <c r="D48" s="8">
        <v>197.7</v>
      </c>
      <c r="E48" s="8">
        <v>155.5</v>
      </c>
      <c r="F48" s="8">
        <v>132.69</v>
      </c>
      <c r="G48" s="8">
        <v>127.01</v>
      </c>
      <c r="H48" s="8">
        <v>132.69</v>
      </c>
      <c r="I48" s="8">
        <v>127.01</v>
      </c>
      <c r="J48" s="8">
        <v>172.6</v>
      </c>
      <c r="K48" s="8">
        <v>123.9</v>
      </c>
      <c r="L48" s="8">
        <v>149.3</v>
      </c>
      <c r="M48" s="8">
        <v>101.85</v>
      </c>
      <c r="N48" s="8">
        <v>99.45</v>
      </c>
      <c r="O48" s="8">
        <v>93.77</v>
      </c>
      <c r="P48" s="8">
        <v>99.45</v>
      </c>
      <c r="Q48" s="8">
        <v>93.77</v>
      </c>
      <c r="R48" s="9">
        <v>116.3</v>
      </c>
      <c r="T48" s="111"/>
    </row>
    <row r="49" spans="1:20" ht="12.75">
      <c r="A49" s="122">
        <f t="shared" si="0"/>
        <v>44</v>
      </c>
      <c r="B49" s="4" t="s">
        <v>1008</v>
      </c>
      <c r="C49" s="8">
        <v>215.8</v>
      </c>
      <c r="D49" s="8">
        <v>201.7</v>
      </c>
      <c r="E49" s="8">
        <v>159.5</v>
      </c>
      <c r="F49" s="8">
        <v>137.69</v>
      </c>
      <c r="G49" s="8">
        <v>132.01</v>
      </c>
      <c r="H49" s="8">
        <v>137.69</v>
      </c>
      <c r="I49" s="8">
        <v>132.01</v>
      </c>
      <c r="J49" s="8">
        <v>173.6</v>
      </c>
      <c r="K49" s="8">
        <v>124.9</v>
      </c>
      <c r="L49" s="8">
        <v>150.3</v>
      </c>
      <c r="M49" s="8">
        <v>102.85</v>
      </c>
      <c r="N49" s="8">
        <v>100.45</v>
      </c>
      <c r="O49" s="8">
        <v>94.77</v>
      </c>
      <c r="P49" s="8">
        <v>100.45</v>
      </c>
      <c r="Q49" s="8">
        <v>94.77</v>
      </c>
      <c r="R49" s="9">
        <v>116.3</v>
      </c>
      <c r="T49" s="111"/>
    </row>
    <row r="50" spans="1:20" ht="12.75">
      <c r="A50" s="122">
        <f t="shared" si="0"/>
        <v>45</v>
      </c>
      <c r="B50" s="4" t="s">
        <v>1004</v>
      </c>
      <c r="C50" s="8">
        <v>220.8</v>
      </c>
      <c r="D50" s="8">
        <v>204.7</v>
      </c>
      <c r="E50" s="8">
        <v>164.5</v>
      </c>
      <c r="F50" s="8">
        <v>142.69</v>
      </c>
      <c r="G50" s="8">
        <v>137.01</v>
      </c>
      <c r="H50" s="8">
        <v>142.69</v>
      </c>
      <c r="I50" s="8">
        <v>137.01</v>
      </c>
      <c r="J50" s="8">
        <v>179.6</v>
      </c>
      <c r="K50" s="8">
        <v>126.9</v>
      </c>
      <c r="L50" s="8">
        <v>153.3</v>
      </c>
      <c r="M50" s="8">
        <v>106.85</v>
      </c>
      <c r="N50" s="8">
        <v>104.45</v>
      </c>
      <c r="O50" s="8">
        <v>98.77</v>
      </c>
      <c r="P50" s="8">
        <v>104.45</v>
      </c>
      <c r="Q50" s="8">
        <v>98.77</v>
      </c>
      <c r="R50" s="9">
        <v>117.3</v>
      </c>
      <c r="T50" s="111"/>
    </row>
    <row r="51" spans="1:20" ht="12.75">
      <c r="A51" s="122">
        <f t="shared" si="0"/>
        <v>46</v>
      </c>
      <c r="B51" s="4" t="s">
        <v>1005</v>
      </c>
      <c r="C51" s="8">
        <v>225.8</v>
      </c>
      <c r="D51" s="8">
        <v>208.7</v>
      </c>
      <c r="E51" s="8">
        <v>165.5</v>
      </c>
      <c r="F51" s="8">
        <v>142.69</v>
      </c>
      <c r="G51" s="8">
        <v>137.01</v>
      </c>
      <c r="H51" s="8">
        <v>142.69</v>
      </c>
      <c r="I51" s="8">
        <v>137.01</v>
      </c>
      <c r="J51" s="8">
        <v>180.6</v>
      </c>
      <c r="K51" s="8">
        <v>129.9</v>
      </c>
      <c r="L51" s="8">
        <v>156.3</v>
      </c>
      <c r="M51" s="8">
        <v>111.85</v>
      </c>
      <c r="N51" s="8">
        <v>109.45</v>
      </c>
      <c r="O51" s="8">
        <v>103.77</v>
      </c>
      <c r="P51" s="8">
        <v>109.45</v>
      </c>
      <c r="Q51" s="8">
        <v>103.77</v>
      </c>
      <c r="R51" s="9">
        <v>117.3</v>
      </c>
      <c r="T51" s="111"/>
    </row>
    <row r="52" spans="1:20" ht="12.75">
      <c r="A52" s="122">
        <f t="shared" si="0"/>
        <v>47</v>
      </c>
      <c r="B52" s="4" t="s">
        <v>1006</v>
      </c>
      <c r="C52" s="8">
        <v>222.8</v>
      </c>
      <c r="D52" s="8">
        <v>206.7</v>
      </c>
      <c r="E52" s="8">
        <v>167.5</v>
      </c>
      <c r="F52" s="8">
        <v>144.69</v>
      </c>
      <c r="G52" s="8">
        <v>139.01</v>
      </c>
      <c r="H52" s="8">
        <v>144.69</v>
      </c>
      <c r="I52" s="8">
        <v>139.01</v>
      </c>
      <c r="J52" s="8">
        <v>181.6</v>
      </c>
      <c r="K52" s="8">
        <v>129.9</v>
      </c>
      <c r="L52" s="8">
        <v>156.3</v>
      </c>
      <c r="M52" s="8">
        <v>110.85</v>
      </c>
      <c r="N52" s="8">
        <v>108.45</v>
      </c>
      <c r="O52" s="8">
        <v>102.77</v>
      </c>
      <c r="P52" s="8">
        <v>108.45</v>
      </c>
      <c r="Q52" s="8">
        <v>102.77</v>
      </c>
      <c r="R52" s="9">
        <v>118.3</v>
      </c>
      <c r="T52" s="111"/>
    </row>
    <row r="53" spans="1:20" ht="12.75">
      <c r="A53" s="122">
        <f t="shared" si="0"/>
        <v>48</v>
      </c>
      <c r="B53" s="4" t="s">
        <v>1007</v>
      </c>
      <c r="C53" s="8">
        <v>219.8</v>
      </c>
      <c r="D53" s="8">
        <v>203.7</v>
      </c>
      <c r="E53" s="8">
        <v>166.5</v>
      </c>
      <c r="F53" s="8">
        <v>143.69</v>
      </c>
      <c r="G53" s="8">
        <v>138.01</v>
      </c>
      <c r="H53" s="8">
        <v>143.69</v>
      </c>
      <c r="I53" s="8">
        <v>138.01</v>
      </c>
      <c r="J53" s="8">
        <v>181.6</v>
      </c>
      <c r="K53" s="8">
        <v>130.9</v>
      </c>
      <c r="L53" s="8">
        <v>157.3</v>
      </c>
      <c r="M53" s="8">
        <v>108.85</v>
      </c>
      <c r="N53" s="8">
        <v>107.45</v>
      </c>
      <c r="O53" s="8">
        <v>101.77</v>
      </c>
      <c r="P53" s="8">
        <v>107.45</v>
      </c>
      <c r="Q53" s="8">
        <v>101.77</v>
      </c>
      <c r="R53" s="9">
        <v>118.3</v>
      </c>
      <c r="T53" s="111"/>
    </row>
    <row r="54" spans="1:20" ht="12.75">
      <c r="A54" s="122">
        <f t="shared" si="0"/>
        <v>49</v>
      </c>
      <c r="B54" s="4" t="s">
        <v>1009</v>
      </c>
      <c r="C54" s="8">
        <v>221.8</v>
      </c>
      <c r="D54" s="8">
        <v>207.2</v>
      </c>
      <c r="E54" s="8">
        <v>167.5</v>
      </c>
      <c r="F54" s="8">
        <v>144.69</v>
      </c>
      <c r="G54" s="8">
        <v>139.01</v>
      </c>
      <c r="H54" s="8">
        <v>144.69</v>
      </c>
      <c r="I54" s="8">
        <v>139.01</v>
      </c>
      <c r="J54" s="8">
        <v>180.6</v>
      </c>
      <c r="K54" s="8">
        <v>131.9</v>
      </c>
      <c r="L54" s="8">
        <v>158.3</v>
      </c>
      <c r="M54" s="8">
        <v>109.85</v>
      </c>
      <c r="N54" s="8">
        <v>107.45</v>
      </c>
      <c r="O54" s="8">
        <v>101.77</v>
      </c>
      <c r="P54" s="8">
        <v>107.45</v>
      </c>
      <c r="Q54" s="8">
        <v>101.77</v>
      </c>
      <c r="R54" s="9">
        <v>119.3</v>
      </c>
      <c r="T54" s="111"/>
    </row>
    <row r="55" spans="1:20" ht="12.75">
      <c r="A55" s="122">
        <f t="shared" si="0"/>
        <v>50</v>
      </c>
      <c r="B55" s="4" t="s">
        <v>1010</v>
      </c>
      <c r="C55" s="8">
        <v>220.8</v>
      </c>
      <c r="D55" s="8">
        <v>208.2</v>
      </c>
      <c r="E55" s="8">
        <v>165.5</v>
      </c>
      <c r="F55" s="8">
        <v>143.69</v>
      </c>
      <c r="G55" s="8">
        <v>138.01</v>
      </c>
      <c r="H55" s="8">
        <v>143.69</v>
      </c>
      <c r="I55" s="8">
        <v>138.01</v>
      </c>
      <c r="J55" s="8">
        <v>179.6</v>
      </c>
      <c r="K55" s="8">
        <v>130.9</v>
      </c>
      <c r="L55" s="8">
        <v>157.3</v>
      </c>
      <c r="M55" s="8">
        <v>108.85</v>
      </c>
      <c r="N55" s="8">
        <v>106.45</v>
      </c>
      <c r="O55" s="8">
        <v>100.77</v>
      </c>
      <c r="P55" s="8">
        <v>106.45</v>
      </c>
      <c r="Q55" s="8">
        <v>100.77</v>
      </c>
      <c r="R55" s="9">
        <v>118.3</v>
      </c>
      <c r="T55" s="111"/>
    </row>
    <row r="56" spans="1:20" ht="12.75">
      <c r="A56" s="122">
        <f t="shared" si="0"/>
        <v>51</v>
      </c>
      <c r="B56" s="4" t="s">
        <v>1011</v>
      </c>
      <c r="C56" s="8">
        <v>219.8</v>
      </c>
      <c r="D56" s="8">
        <v>206.2</v>
      </c>
      <c r="E56" s="8">
        <v>167.5</v>
      </c>
      <c r="F56" s="8">
        <v>144.69</v>
      </c>
      <c r="G56" s="8">
        <v>139.01</v>
      </c>
      <c r="H56" s="8">
        <v>144.69</v>
      </c>
      <c r="I56" s="8">
        <v>139.01</v>
      </c>
      <c r="J56" s="8">
        <v>181.6</v>
      </c>
      <c r="K56" s="8">
        <v>132.9</v>
      </c>
      <c r="L56" s="8">
        <v>159.3</v>
      </c>
      <c r="M56" s="8">
        <v>107.85</v>
      </c>
      <c r="N56" s="8">
        <v>105.45</v>
      </c>
      <c r="O56" s="8">
        <v>99.77</v>
      </c>
      <c r="P56" s="8">
        <v>105.45</v>
      </c>
      <c r="Q56" s="8">
        <v>99.77</v>
      </c>
      <c r="R56" s="9">
        <v>117.3</v>
      </c>
      <c r="T56" s="111"/>
    </row>
    <row r="57" spans="1:20" ht="12.75">
      <c r="A57" s="122">
        <f t="shared" si="0"/>
        <v>52</v>
      </c>
      <c r="B57" s="4" t="s">
        <v>1012</v>
      </c>
      <c r="C57" s="8">
        <v>219.8</v>
      </c>
      <c r="D57" s="8">
        <v>207.2</v>
      </c>
      <c r="E57" s="8">
        <v>168.5</v>
      </c>
      <c r="F57" s="8">
        <v>145.69</v>
      </c>
      <c r="G57" s="8">
        <v>140.01</v>
      </c>
      <c r="H57" s="8">
        <v>145.69</v>
      </c>
      <c r="I57" s="8">
        <v>140.01</v>
      </c>
      <c r="J57" s="8">
        <v>181.6</v>
      </c>
      <c r="K57" s="8">
        <v>132.9</v>
      </c>
      <c r="L57" s="8">
        <v>159.3</v>
      </c>
      <c r="M57" s="8">
        <v>108.85</v>
      </c>
      <c r="N57" s="8">
        <v>106.45</v>
      </c>
      <c r="O57" s="8">
        <v>100.77</v>
      </c>
      <c r="P57" s="8">
        <v>106.45</v>
      </c>
      <c r="Q57" s="8">
        <v>100.77</v>
      </c>
      <c r="R57" s="12">
        <v>116.3</v>
      </c>
      <c r="T57" s="111"/>
    </row>
    <row r="58" spans="2:20" ht="13.5" thickBot="1">
      <c r="B58" s="127" t="s">
        <v>65</v>
      </c>
      <c r="C58" s="126">
        <f>AVERAGE(C6:C57)</f>
        <v>214.31923076923067</v>
      </c>
      <c r="D58" s="126">
        <f>AVERAGE(D6:D57)</f>
        <v>199.4403846153847</v>
      </c>
      <c r="E58" s="126">
        <f>AVERAGE(E7:E57)</f>
        <v>152.2549019607843</v>
      </c>
      <c r="F58" s="126">
        <f aca="true" t="shared" si="1" ref="F58:R58">AVERAGE(F6:F57)</f>
        <v>130.01115384615363</v>
      </c>
      <c r="G58" s="126">
        <f t="shared" si="1"/>
        <v>124.33115384615388</v>
      </c>
      <c r="H58" s="126">
        <f t="shared" si="1"/>
        <v>129.9149999999998</v>
      </c>
      <c r="I58" s="126">
        <f t="shared" si="1"/>
        <v>124.33115384615388</v>
      </c>
      <c r="J58" s="126">
        <f t="shared" si="1"/>
        <v>166.146153846154</v>
      </c>
      <c r="K58" s="126">
        <f t="shared" si="1"/>
        <v>117.93846153846147</v>
      </c>
      <c r="L58" s="126">
        <f t="shared" si="1"/>
        <v>143.13173076923084</v>
      </c>
      <c r="M58" s="126">
        <f t="shared" si="1"/>
        <v>98.18173076923085</v>
      </c>
      <c r="N58" s="126">
        <f t="shared" si="1"/>
        <v>96.16634615384606</v>
      </c>
      <c r="O58" s="126">
        <f t="shared" si="1"/>
        <v>90.4863461538462</v>
      </c>
      <c r="P58" s="126">
        <f t="shared" si="1"/>
        <v>96.16634615384606</v>
      </c>
      <c r="Q58" s="126">
        <f t="shared" si="1"/>
        <v>90.4863461538462</v>
      </c>
      <c r="R58" s="126">
        <f t="shared" si="1"/>
        <v>106.51153846153852</v>
      </c>
      <c r="T58" s="111"/>
    </row>
    <row r="59" spans="2:20" ht="13.5" thickTop="1">
      <c r="B59" s="99"/>
      <c r="T59" s="111"/>
    </row>
    <row r="60" ht="12.75">
      <c r="B60" s="98" t="s">
        <v>1049</v>
      </c>
    </row>
    <row r="61" ht="12.75">
      <c r="B61" s="98"/>
    </row>
  </sheetData>
  <sheetProtection/>
  <mergeCells count="4">
    <mergeCell ref="A1:R1"/>
    <mergeCell ref="A2:R2"/>
    <mergeCell ref="A3:R3"/>
    <mergeCell ref="C4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xSplit="1" ySplit="5" topLeftCell="C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44" sqref="S44"/>
    </sheetView>
  </sheetViews>
  <sheetFormatPr defaultColWidth="11.421875" defaultRowHeight="12.75" outlineLevelRow="1"/>
  <cols>
    <col min="1" max="1" width="2.421875" style="19" customWidth="1"/>
    <col min="2" max="2" width="35.14062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7109375" style="0" customWidth="1"/>
    <col min="7" max="7" width="9.8515625" style="0" customWidth="1"/>
    <col min="8" max="8" width="10.140625" style="0" customWidth="1"/>
    <col min="9" max="9" width="9.8515625" style="0" customWidth="1"/>
    <col min="10" max="10" width="8.421875" style="0" customWidth="1"/>
    <col min="11" max="11" width="7.140625" style="0" customWidth="1"/>
    <col min="12" max="12" width="8.5742187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6" customWidth="1"/>
  </cols>
  <sheetData>
    <row r="1" spans="1:18" ht="15.75">
      <c r="A1" s="149" t="s">
        <v>958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5.75">
      <c r="A2" s="149" t="s">
        <v>1048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9" ht="12.75">
      <c r="A3" s="114"/>
      <c r="B3" s="153" t="s">
        <v>1028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13"/>
    </row>
    <row r="4" spans="2:18" ht="12.75">
      <c r="B4" s="119" t="s">
        <v>1013</v>
      </c>
      <c r="C4" s="150" t="s">
        <v>16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</row>
    <row r="5" spans="2:18" ht="56.25">
      <c r="B5" s="112" t="s">
        <v>919</v>
      </c>
      <c r="C5" s="112" t="s">
        <v>0</v>
      </c>
      <c r="D5" s="112" t="s">
        <v>1</v>
      </c>
      <c r="E5" s="112" t="s">
        <v>2</v>
      </c>
      <c r="F5" s="112" t="s">
        <v>291</v>
      </c>
      <c r="G5" s="112" t="s">
        <v>292</v>
      </c>
      <c r="H5" s="112" t="s">
        <v>5</v>
      </c>
      <c r="I5" s="112" t="s">
        <v>6</v>
      </c>
      <c r="J5" s="112" t="s">
        <v>695</v>
      </c>
      <c r="K5" s="112" t="s">
        <v>10</v>
      </c>
      <c r="L5" s="112" t="s">
        <v>19</v>
      </c>
      <c r="M5" s="112" t="s">
        <v>296</v>
      </c>
      <c r="N5" s="112" t="s">
        <v>12</v>
      </c>
      <c r="O5" s="112" t="s">
        <v>13</v>
      </c>
      <c r="P5" s="112" t="s">
        <v>297</v>
      </c>
      <c r="Q5" s="112" t="s">
        <v>15</v>
      </c>
      <c r="R5" s="112" t="s">
        <v>75</v>
      </c>
    </row>
    <row r="6" spans="1:18" ht="12.75">
      <c r="A6" s="115">
        <v>1</v>
      </c>
      <c r="B6" s="4" t="s">
        <v>1032</v>
      </c>
      <c r="C6" s="8">
        <v>223.3</v>
      </c>
      <c r="D6" s="8">
        <v>209.2</v>
      </c>
      <c r="E6" s="8">
        <v>170.5</v>
      </c>
      <c r="F6" s="8">
        <v>147.69</v>
      </c>
      <c r="G6" s="8">
        <v>142.01</v>
      </c>
      <c r="H6" s="8">
        <v>147.69</v>
      </c>
      <c r="I6" s="8">
        <v>142.01</v>
      </c>
      <c r="J6" s="8">
        <v>182.6</v>
      </c>
      <c r="K6" s="8">
        <v>132.9</v>
      </c>
      <c r="L6" s="8">
        <v>159.3</v>
      </c>
      <c r="M6" s="8">
        <v>109.85</v>
      </c>
      <c r="N6" s="8">
        <v>107.45</v>
      </c>
      <c r="O6" s="8">
        <v>101.77</v>
      </c>
      <c r="P6" s="8">
        <v>107.45</v>
      </c>
      <c r="Q6" s="8">
        <v>101.77</v>
      </c>
      <c r="R6" s="9">
        <v>117.3</v>
      </c>
    </row>
    <row r="7" spans="1:18" ht="12.75">
      <c r="A7" s="115">
        <f>A6+1</f>
        <v>2</v>
      </c>
      <c r="B7" s="4" t="s">
        <v>1033</v>
      </c>
      <c r="C7" s="8">
        <v>227.3</v>
      </c>
      <c r="D7" s="8">
        <v>211.2</v>
      </c>
      <c r="E7" s="8">
        <v>176.5</v>
      </c>
      <c r="F7" s="8">
        <v>153.69</v>
      </c>
      <c r="G7" s="8">
        <v>148.01</v>
      </c>
      <c r="H7" s="8">
        <v>153.69</v>
      </c>
      <c r="I7" s="8">
        <v>148.01</v>
      </c>
      <c r="J7" s="8">
        <v>187.6</v>
      </c>
      <c r="K7" s="8">
        <v>136.9</v>
      </c>
      <c r="L7" s="8">
        <v>163.3</v>
      </c>
      <c r="M7" s="8">
        <v>111.85</v>
      </c>
      <c r="N7" s="8">
        <v>109.45</v>
      </c>
      <c r="O7" s="8">
        <v>103.77</v>
      </c>
      <c r="P7" s="8">
        <v>109.45</v>
      </c>
      <c r="Q7" s="8">
        <v>103.77</v>
      </c>
      <c r="R7" s="9">
        <v>119.3</v>
      </c>
    </row>
    <row r="8" spans="1:18" ht="12.75">
      <c r="A8" s="115">
        <f>A7+1</f>
        <v>3</v>
      </c>
      <c r="B8" s="4" t="s">
        <v>1034</v>
      </c>
      <c r="C8" s="8">
        <v>229.3</v>
      </c>
      <c r="D8" s="8">
        <v>213.2</v>
      </c>
      <c r="E8" s="8">
        <v>175.5</v>
      </c>
      <c r="F8" s="8">
        <v>153.69</v>
      </c>
      <c r="G8" s="8">
        <v>148.01</v>
      </c>
      <c r="H8" s="8">
        <v>153.69</v>
      </c>
      <c r="I8" s="8">
        <v>148.01</v>
      </c>
      <c r="J8" s="8">
        <v>188.6</v>
      </c>
      <c r="K8" s="8">
        <v>138.9</v>
      </c>
      <c r="L8" s="8">
        <v>165.3</v>
      </c>
      <c r="M8" s="8">
        <v>112.85</v>
      </c>
      <c r="N8" s="8">
        <v>110.45</v>
      </c>
      <c r="O8" s="8">
        <v>104.77</v>
      </c>
      <c r="P8" s="8">
        <v>110.45</v>
      </c>
      <c r="Q8" s="8">
        <v>104.77</v>
      </c>
      <c r="R8" s="9">
        <v>116.3</v>
      </c>
    </row>
    <row r="9" spans="1:18" ht="12.75">
      <c r="A9" s="115">
        <f aca="true" t="shared" si="0" ref="A9:A57">A8+1</f>
        <v>4</v>
      </c>
      <c r="B9" s="4" t="s">
        <v>1035</v>
      </c>
      <c r="C9" s="8">
        <v>232.3</v>
      </c>
      <c r="D9" s="8">
        <v>216.2</v>
      </c>
      <c r="E9" s="8">
        <v>175.5</v>
      </c>
      <c r="F9" s="8">
        <v>152.69</v>
      </c>
      <c r="G9" s="8">
        <v>147.01</v>
      </c>
      <c r="H9" s="8">
        <v>152.69</v>
      </c>
      <c r="I9" s="8">
        <v>147.01</v>
      </c>
      <c r="J9" s="8">
        <v>188.6</v>
      </c>
      <c r="K9" s="8">
        <v>138.9</v>
      </c>
      <c r="L9" s="8">
        <v>165.3</v>
      </c>
      <c r="M9" s="8">
        <v>112.85</v>
      </c>
      <c r="N9" s="8">
        <v>110.45</v>
      </c>
      <c r="O9" s="8">
        <v>104.77</v>
      </c>
      <c r="P9" s="8">
        <v>110.45</v>
      </c>
      <c r="Q9" s="8">
        <v>104.77</v>
      </c>
      <c r="R9" s="9">
        <v>116.3</v>
      </c>
    </row>
    <row r="10" spans="1:18" ht="12.75">
      <c r="A10" s="115">
        <f t="shared" si="0"/>
        <v>5</v>
      </c>
      <c r="B10" s="4" t="s">
        <v>1036</v>
      </c>
      <c r="C10" s="8">
        <v>235.3</v>
      </c>
      <c r="D10" s="8">
        <v>219.2</v>
      </c>
      <c r="E10" s="8">
        <v>178.5</v>
      </c>
      <c r="F10" s="8">
        <v>155.69</v>
      </c>
      <c r="G10" s="8">
        <v>150.01</v>
      </c>
      <c r="H10" s="8">
        <v>155.69</v>
      </c>
      <c r="I10" s="8">
        <v>150.01</v>
      </c>
      <c r="J10" s="8">
        <v>190.6</v>
      </c>
      <c r="K10" s="8">
        <v>139.9</v>
      </c>
      <c r="L10" s="8">
        <v>167.3</v>
      </c>
      <c r="M10" s="8">
        <v>112.85</v>
      </c>
      <c r="N10" s="8">
        <v>110.45</v>
      </c>
      <c r="O10" s="8">
        <v>104.77</v>
      </c>
      <c r="P10" s="8">
        <v>110.45</v>
      </c>
      <c r="Q10" s="8">
        <v>104.77</v>
      </c>
      <c r="R10" s="9">
        <v>115.3</v>
      </c>
    </row>
    <row r="11" spans="1:18" ht="12.75" customHeight="1">
      <c r="A11" s="115">
        <f t="shared" si="0"/>
        <v>6</v>
      </c>
      <c r="B11" s="4" t="s">
        <v>1037</v>
      </c>
      <c r="C11" s="8">
        <v>234.3</v>
      </c>
      <c r="D11" s="8">
        <v>219.2</v>
      </c>
      <c r="E11" s="8">
        <v>179.5</v>
      </c>
      <c r="F11" s="8">
        <v>156.69</v>
      </c>
      <c r="G11" s="8">
        <v>151.01</v>
      </c>
      <c r="H11" s="8">
        <v>156.69</v>
      </c>
      <c r="I11" s="8">
        <v>151.01</v>
      </c>
      <c r="J11" s="8">
        <v>191.6</v>
      </c>
      <c r="K11" s="8">
        <v>141.9</v>
      </c>
      <c r="L11" s="8">
        <v>169.3</v>
      </c>
      <c r="M11" s="8">
        <v>113.85</v>
      </c>
      <c r="N11" s="8">
        <v>111.45</v>
      </c>
      <c r="O11" s="8">
        <v>105.77</v>
      </c>
      <c r="P11" s="8">
        <v>111.45</v>
      </c>
      <c r="Q11" s="8">
        <v>105.77</v>
      </c>
      <c r="R11" s="9">
        <v>112.3</v>
      </c>
    </row>
    <row r="12" spans="1:18" ht="12.75" customHeight="1">
      <c r="A12" s="115">
        <f t="shared" si="0"/>
        <v>7</v>
      </c>
      <c r="B12" s="4" t="s">
        <v>1038</v>
      </c>
      <c r="C12" s="8">
        <v>231.3</v>
      </c>
      <c r="D12" s="8">
        <v>216.2</v>
      </c>
      <c r="E12" s="8">
        <v>172.5</v>
      </c>
      <c r="F12" s="8">
        <v>150.69</v>
      </c>
      <c r="G12" s="8">
        <v>145.01</v>
      </c>
      <c r="H12" s="8">
        <v>150.69</v>
      </c>
      <c r="I12" s="8">
        <v>145.01</v>
      </c>
      <c r="J12" s="8">
        <v>188.6</v>
      </c>
      <c r="K12" s="8">
        <v>138.9</v>
      </c>
      <c r="L12" s="8">
        <v>165.3</v>
      </c>
      <c r="M12" s="8">
        <v>111.85</v>
      </c>
      <c r="N12" s="8">
        <v>109.345</v>
      </c>
      <c r="O12" s="8">
        <v>103.77</v>
      </c>
      <c r="P12" s="8">
        <v>109.45</v>
      </c>
      <c r="Q12" s="8">
        <v>103.77</v>
      </c>
      <c r="R12" s="9">
        <v>111.3</v>
      </c>
    </row>
    <row r="13" spans="1:18" ht="12.75" customHeight="1">
      <c r="A13" s="115">
        <f t="shared" si="0"/>
        <v>8</v>
      </c>
      <c r="B13" s="4" t="s">
        <v>1039</v>
      </c>
      <c r="C13" s="8">
        <v>225.3</v>
      </c>
      <c r="D13" s="8">
        <v>210.2</v>
      </c>
      <c r="E13" s="8">
        <v>165.5</v>
      </c>
      <c r="F13" s="8">
        <v>142.69</v>
      </c>
      <c r="G13" s="8">
        <v>137.01</v>
      </c>
      <c r="H13" s="8">
        <v>142.69</v>
      </c>
      <c r="I13" s="8">
        <v>137.01</v>
      </c>
      <c r="J13" s="8">
        <v>180.6</v>
      </c>
      <c r="K13" s="8">
        <v>130.9</v>
      </c>
      <c r="L13" s="8">
        <v>157.3</v>
      </c>
      <c r="M13" s="8">
        <v>107.85</v>
      </c>
      <c r="N13" s="8">
        <v>105.45</v>
      </c>
      <c r="O13" s="8">
        <v>99.77</v>
      </c>
      <c r="P13" s="8">
        <v>105.45</v>
      </c>
      <c r="Q13" s="8">
        <v>99.77</v>
      </c>
      <c r="R13" s="9">
        <v>113.3</v>
      </c>
    </row>
    <row r="14" spans="1:18" ht="12.75" customHeight="1">
      <c r="A14" s="115">
        <f t="shared" si="0"/>
        <v>9</v>
      </c>
      <c r="B14" s="4" t="s">
        <v>1040</v>
      </c>
      <c r="C14" s="8">
        <v>225.3</v>
      </c>
      <c r="D14" s="8">
        <v>210.2</v>
      </c>
      <c r="E14" s="8">
        <v>168.5</v>
      </c>
      <c r="F14" s="8">
        <v>146.69</v>
      </c>
      <c r="G14" s="8">
        <v>141.01</v>
      </c>
      <c r="H14" s="8">
        <v>146.69</v>
      </c>
      <c r="I14" s="8">
        <v>141.01</v>
      </c>
      <c r="J14" s="8">
        <v>182.6</v>
      </c>
      <c r="K14" s="8">
        <v>133.9</v>
      </c>
      <c r="L14" s="8">
        <v>160.3</v>
      </c>
      <c r="M14" s="8">
        <v>109.85</v>
      </c>
      <c r="N14" s="8">
        <v>107.45</v>
      </c>
      <c r="O14" s="8">
        <v>101.77</v>
      </c>
      <c r="P14" s="8">
        <v>107.45</v>
      </c>
      <c r="Q14" s="8">
        <v>101.77</v>
      </c>
      <c r="R14" s="9">
        <v>114.3</v>
      </c>
    </row>
    <row r="15" spans="1:18" ht="12.75" customHeight="1">
      <c r="A15" s="115">
        <f t="shared" si="0"/>
        <v>10</v>
      </c>
      <c r="B15" s="4" t="s">
        <v>1014</v>
      </c>
      <c r="C15" s="8">
        <v>228.3</v>
      </c>
      <c r="D15" s="8">
        <v>214.2</v>
      </c>
      <c r="E15" s="8">
        <v>172.5</v>
      </c>
      <c r="F15" s="8">
        <v>149.69</v>
      </c>
      <c r="G15" s="8">
        <v>144.01</v>
      </c>
      <c r="H15" s="8">
        <v>149.69</v>
      </c>
      <c r="I15" s="8">
        <v>144.01</v>
      </c>
      <c r="J15" s="8">
        <v>185.6</v>
      </c>
      <c r="K15" s="8">
        <v>136.9</v>
      </c>
      <c r="L15" s="8">
        <v>163.3</v>
      </c>
      <c r="M15" s="8">
        <v>109.85</v>
      </c>
      <c r="N15" s="8">
        <v>107.45</v>
      </c>
      <c r="O15" s="8">
        <v>101.77</v>
      </c>
      <c r="P15" s="8">
        <v>107.45</v>
      </c>
      <c r="Q15" s="8">
        <v>101.77</v>
      </c>
      <c r="R15" s="9">
        <v>116.3</v>
      </c>
    </row>
    <row r="16" spans="1:18" ht="12.75" customHeight="1">
      <c r="A16" s="115">
        <f t="shared" si="0"/>
        <v>11</v>
      </c>
      <c r="B16" s="4" t="s">
        <v>1015</v>
      </c>
      <c r="C16" s="17">
        <v>227.3</v>
      </c>
      <c r="D16" s="17">
        <v>214.2</v>
      </c>
      <c r="E16" s="17">
        <v>172.5</v>
      </c>
      <c r="F16" s="17">
        <v>149.69</v>
      </c>
      <c r="G16" s="17">
        <v>144.01</v>
      </c>
      <c r="H16" s="17">
        <v>149.69</v>
      </c>
      <c r="I16" s="17">
        <v>144.01</v>
      </c>
      <c r="J16" s="17">
        <v>183.6</v>
      </c>
      <c r="K16" s="17">
        <v>135.9</v>
      </c>
      <c r="L16" s="17">
        <v>162.3</v>
      </c>
      <c r="M16" s="17">
        <v>109.85</v>
      </c>
      <c r="N16" s="17">
        <v>107.45</v>
      </c>
      <c r="O16" s="17">
        <v>101.77</v>
      </c>
      <c r="P16" s="17">
        <v>107.45</v>
      </c>
      <c r="Q16" s="17">
        <v>101.77</v>
      </c>
      <c r="R16" s="18">
        <v>111.3</v>
      </c>
    </row>
    <row r="17" spans="1:18" ht="12.75" customHeight="1">
      <c r="A17" s="115">
        <f t="shared" si="0"/>
        <v>12</v>
      </c>
      <c r="B17" s="4" t="s">
        <v>1029</v>
      </c>
      <c r="C17" s="17">
        <v>229.3</v>
      </c>
      <c r="D17" s="17">
        <v>215.2</v>
      </c>
      <c r="E17" s="17">
        <v>171.5</v>
      </c>
      <c r="F17" s="17">
        <v>148.69</v>
      </c>
      <c r="G17" s="17">
        <v>143.01</v>
      </c>
      <c r="H17" s="17">
        <v>148.69</v>
      </c>
      <c r="I17" s="17">
        <v>143.01</v>
      </c>
      <c r="J17" s="17">
        <v>183.6</v>
      </c>
      <c r="K17" s="17">
        <v>134.9</v>
      </c>
      <c r="L17" s="17">
        <v>160.3</v>
      </c>
      <c r="M17" s="17">
        <v>109.85</v>
      </c>
      <c r="N17" s="17">
        <v>107.45</v>
      </c>
      <c r="O17" s="17">
        <v>101.77</v>
      </c>
      <c r="P17" s="17">
        <v>107.45</v>
      </c>
      <c r="Q17" s="17">
        <v>101.77</v>
      </c>
      <c r="R17" s="18">
        <v>110.3</v>
      </c>
    </row>
    <row r="18" spans="1:18" ht="12.75" customHeight="1">
      <c r="A18" s="115">
        <f t="shared" si="0"/>
        <v>13</v>
      </c>
      <c r="B18" s="4" t="s">
        <v>1030</v>
      </c>
      <c r="C18" s="17">
        <v>234.3</v>
      </c>
      <c r="D18" s="17">
        <v>220.2</v>
      </c>
      <c r="E18" s="17">
        <v>174.5</v>
      </c>
      <c r="F18" s="17">
        <v>152.69</v>
      </c>
      <c r="G18" s="17">
        <v>147.01</v>
      </c>
      <c r="H18" s="17">
        <v>152.69</v>
      </c>
      <c r="I18" s="17">
        <v>147.01</v>
      </c>
      <c r="J18" s="17">
        <v>186.6</v>
      </c>
      <c r="K18" s="17">
        <v>137.9</v>
      </c>
      <c r="L18" s="17">
        <v>164.3</v>
      </c>
      <c r="M18" s="17">
        <v>111.85</v>
      </c>
      <c r="N18" s="17">
        <v>109.45</v>
      </c>
      <c r="O18" s="17">
        <v>103.77</v>
      </c>
      <c r="P18" s="17">
        <v>109.45</v>
      </c>
      <c r="Q18" s="17">
        <v>103.77</v>
      </c>
      <c r="R18" s="18">
        <v>111.3</v>
      </c>
    </row>
    <row r="19" spans="1:18" ht="12.75" customHeight="1">
      <c r="A19" s="115">
        <f t="shared" si="0"/>
        <v>14</v>
      </c>
      <c r="B19" s="4" t="s">
        <v>1031</v>
      </c>
      <c r="C19" s="17">
        <v>238.3</v>
      </c>
      <c r="D19" s="17">
        <v>224.2</v>
      </c>
      <c r="E19" s="17">
        <v>180.5</v>
      </c>
      <c r="F19" s="17">
        <v>158.69</v>
      </c>
      <c r="G19" s="17">
        <v>153.01</v>
      </c>
      <c r="H19" s="17">
        <v>158.69</v>
      </c>
      <c r="I19" s="17">
        <v>153.01</v>
      </c>
      <c r="J19" s="17">
        <v>191.6</v>
      </c>
      <c r="K19" s="17">
        <v>142.9</v>
      </c>
      <c r="L19" s="17">
        <v>169.3</v>
      </c>
      <c r="M19" s="17">
        <v>112.85</v>
      </c>
      <c r="N19" s="17">
        <v>110.45</v>
      </c>
      <c r="O19" s="17">
        <v>104.77</v>
      </c>
      <c r="P19" s="17">
        <v>110.45</v>
      </c>
      <c r="Q19" s="17">
        <v>104.77</v>
      </c>
      <c r="R19" s="18">
        <v>112.3</v>
      </c>
    </row>
    <row r="20" spans="1:18" ht="12.75" customHeight="1">
      <c r="A20" s="115">
        <f t="shared" si="0"/>
        <v>15</v>
      </c>
      <c r="B20" s="4" t="s">
        <v>1041</v>
      </c>
      <c r="C20" s="17">
        <v>236.3</v>
      </c>
      <c r="D20" s="17">
        <v>223.2</v>
      </c>
      <c r="E20" s="17">
        <v>181.5</v>
      </c>
      <c r="F20" s="17">
        <v>159.69</v>
      </c>
      <c r="G20" s="17">
        <v>154.01</v>
      </c>
      <c r="H20" s="17">
        <v>159.69</v>
      </c>
      <c r="I20" s="17">
        <v>154.01</v>
      </c>
      <c r="J20" s="17">
        <v>190.6</v>
      </c>
      <c r="K20" s="17">
        <v>142.9</v>
      </c>
      <c r="L20" s="17">
        <v>170.3</v>
      </c>
      <c r="M20" s="17">
        <v>110.85</v>
      </c>
      <c r="N20" s="17">
        <v>108.45</v>
      </c>
      <c r="O20" s="17">
        <v>102.77</v>
      </c>
      <c r="P20" s="17">
        <v>108.45</v>
      </c>
      <c r="Q20" s="17">
        <v>102.77</v>
      </c>
      <c r="R20" s="18">
        <v>110.3</v>
      </c>
    </row>
    <row r="21" spans="1:18" ht="12.75" customHeight="1">
      <c r="A21" s="115">
        <f t="shared" si="0"/>
        <v>16</v>
      </c>
      <c r="B21" s="4" t="s">
        <v>1042</v>
      </c>
      <c r="C21" s="17">
        <v>237.3</v>
      </c>
      <c r="D21" s="17">
        <v>223.2</v>
      </c>
      <c r="E21" s="17">
        <v>183.5</v>
      </c>
      <c r="F21" s="17">
        <v>160.69</v>
      </c>
      <c r="G21" s="17">
        <v>155.01</v>
      </c>
      <c r="H21" s="17">
        <v>160.69</v>
      </c>
      <c r="I21" s="17">
        <v>155.01</v>
      </c>
      <c r="J21" s="17">
        <v>192.6</v>
      </c>
      <c r="K21" s="17">
        <v>144.9</v>
      </c>
      <c r="L21" s="17">
        <v>172.3</v>
      </c>
      <c r="M21" s="17">
        <v>112.85</v>
      </c>
      <c r="N21" s="17">
        <v>110.45</v>
      </c>
      <c r="O21" s="17">
        <v>104.77</v>
      </c>
      <c r="P21" s="17">
        <v>110.45</v>
      </c>
      <c r="Q21" s="17">
        <v>104.77</v>
      </c>
      <c r="R21" s="18">
        <v>110.3</v>
      </c>
    </row>
    <row r="22" spans="1:18" ht="12.75" customHeight="1">
      <c r="A22" s="115">
        <f t="shared" si="0"/>
        <v>17</v>
      </c>
      <c r="B22" s="4" t="s">
        <v>1045</v>
      </c>
      <c r="C22" s="17">
        <v>240.3</v>
      </c>
      <c r="D22" s="17">
        <v>227.2</v>
      </c>
      <c r="E22" s="17">
        <v>186.5</v>
      </c>
      <c r="F22" s="17">
        <v>163.69</v>
      </c>
      <c r="G22" s="17">
        <v>158.01</v>
      </c>
      <c r="H22" s="17">
        <v>163.69</v>
      </c>
      <c r="I22" s="17">
        <v>158.01</v>
      </c>
      <c r="J22" s="17">
        <v>195.6</v>
      </c>
      <c r="K22" s="17">
        <v>146.9</v>
      </c>
      <c r="L22" s="17">
        <v>174.3</v>
      </c>
      <c r="M22" s="17">
        <v>115.85</v>
      </c>
      <c r="N22" s="17">
        <v>113.45</v>
      </c>
      <c r="O22" s="17">
        <v>107.77</v>
      </c>
      <c r="P22" s="17">
        <v>113.45</v>
      </c>
      <c r="Q22" s="17">
        <v>107.77</v>
      </c>
      <c r="R22" s="18">
        <v>113.3</v>
      </c>
    </row>
    <row r="23" spans="1:18" ht="12.75" customHeight="1">
      <c r="A23" s="115">
        <f t="shared" si="0"/>
        <v>18</v>
      </c>
      <c r="B23" s="4" t="s">
        <v>1047</v>
      </c>
      <c r="C23" s="17">
        <v>243.3</v>
      </c>
      <c r="D23" s="17">
        <v>230.2</v>
      </c>
      <c r="E23" s="17">
        <v>187.5</v>
      </c>
      <c r="F23" s="17">
        <v>165.69</v>
      </c>
      <c r="G23" s="17">
        <v>160.01</v>
      </c>
      <c r="H23" s="17">
        <v>165.69</v>
      </c>
      <c r="I23" s="17">
        <v>160.01</v>
      </c>
      <c r="J23" s="17">
        <v>197.6</v>
      </c>
      <c r="K23" s="17">
        <v>149.9</v>
      </c>
      <c r="L23" s="17">
        <v>177.3</v>
      </c>
      <c r="M23" s="17">
        <v>116.85</v>
      </c>
      <c r="N23" s="17">
        <v>114.45</v>
      </c>
      <c r="O23" s="17">
        <v>108.77</v>
      </c>
      <c r="P23" s="17">
        <v>114.45</v>
      </c>
      <c r="Q23" s="17">
        <v>108.77</v>
      </c>
      <c r="R23" s="18">
        <v>113.3</v>
      </c>
    </row>
    <row r="24" spans="1:18" ht="12.75" customHeight="1">
      <c r="A24" s="115">
        <f t="shared" si="0"/>
        <v>19</v>
      </c>
      <c r="B24" s="4" t="s">
        <v>1043</v>
      </c>
      <c r="C24" s="17">
        <v>242.3</v>
      </c>
      <c r="D24" s="17">
        <v>227.2</v>
      </c>
      <c r="E24" s="17">
        <v>183.5</v>
      </c>
      <c r="F24" s="17">
        <v>161.69</v>
      </c>
      <c r="G24" s="17">
        <v>156.01</v>
      </c>
      <c r="H24" s="17">
        <v>161.69</v>
      </c>
      <c r="I24" s="17">
        <v>156.01</v>
      </c>
      <c r="J24" s="17">
        <v>197.6</v>
      </c>
      <c r="K24" s="17">
        <v>147.9</v>
      </c>
      <c r="L24" s="17">
        <v>175.3</v>
      </c>
      <c r="M24" s="17">
        <v>117.85</v>
      </c>
      <c r="N24" s="17">
        <v>115.45</v>
      </c>
      <c r="O24" s="17">
        <v>109.77</v>
      </c>
      <c r="P24" s="17">
        <v>115.45</v>
      </c>
      <c r="Q24" s="17">
        <v>109.77</v>
      </c>
      <c r="R24" s="18">
        <v>117.3</v>
      </c>
    </row>
    <row r="25" spans="1:19" ht="12.75" customHeight="1">
      <c r="A25" s="115">
        <f t="shared" si="0"/>
        <v>20</v>
      </c>
      <c r="B25" s="4" t="s">
        <v>1046</v>
      </c>
      <c r="C25" s="17">
        <v>241.3</v>
      </c>
      <c r="D25" s="17">
        <v>227.2</v>
      </c>
      <c r="E25" s="17">
        <v>184.5</v>
      </c>
      <c r="F25" s="17">
        <v>162.69</v>
      </c>
      <c r="G25" s="17">
        <v>157.01</v>
      </c>
      <c r="H25" s="17">
        <v>162.69</v>
      </c>
      <c r="I25" s="17">
        <v>157.01</v>
      </c>
      <c r="J25" s="17">
        <v>200.6</v>
      </c>
      <c r="K25" s="17">
        <v>149.9</v>
      </c>
      <c r="L25" s="17">
        <v>177.3</v>
      </c>
      <c r="M25" s="17">
        <v>119.85</v>
      </c>
      <c r="N25" s="17">
        <v>117.45</v>
      </c>
      <c r="O25" s="17">
        <v>111.77</v>
      </c>
      <c r="P25" s="17">
        <v>117.45</v>
      </c>
      <c r="Q25" s="17">
        <v>111.77</v>
      </c>
      <c r="R25" s="18">
        <v>116.3</v>
      </c>
      <c r="S25" s="97"/>
    </row>
    <row r="26" spans="1:18" ht="12.75" customHeight="1">
      <c r="A26" s="115">
        <f t="shared" si="0"/>
        <v>21</v>
      </c>
      <c r="B26" s="4" t="s">
        <v>1044</v>
      </c>
      <c r="C26" s="8">
        <v>246.3</v>
      </c>
      <c r="D26" s="8">
        <v>232.2</v>
      </c>
      <c r="E26" s="8">
        <v>189.5</v>
      </c>
      <c r="F26" s="8">
        <v>167.69</v>
      </c>
      <c r="G26" s="8">
        <v>162.01</v>
      </c>
      <c r="H26" s="8">
        <v>167.69</v>
      </c>
      <c r="I26" s="8">
        <v>162.01</v>
      </c>
      <c r="J26" s="8">
        <v>204.6</v>
      </c>
      <c r="K26" s="8">
        <v>153.9</v>
      </c>
      <c r="L26" s="8">
        <v>181.3</v>
      </c>
      <c r="M26" s="8">
        <v>124.85</v>
      </c>
      <c r="N26" s="8">
        <v>122.45</v>
      </c>
      <c r="O26" s="8">
        <v>116.77</v>
      </c>
      <c r="P26" s="8">
        <v>122.45</v>
      </c>
      <c r="Q26" s="8">
        <v>116.77</v>
      </c>
      <c r="R26" s="9">
        <v>118.3</v>
      </c>
    </row>
    <row r="27" spans="1:18" ht="12.75" customHeight="1">
      <c r="A27" s="115">
        <f t="shared" si="0"/>
        <v>22</v>
      </c>
      <c r="B27" s="4" t="s">
        <v>1050</v>
      </c>
      <c r="C27" s="8">
        <v>249.3</v>
      </c>
      <c r="D27" s="8">
        <v>234.2</v>
      </c>
      <c r="E27" s="8">
        <v>191.5</v>
      </c>
      <c r="F27" s="8">
        <v>168.69</v>
      </c>
      <c r="G27" s="8">
        <v>163.01</v>
      </c>
      <c r="H27" s="8">
        <v>168.69</v>
      </c>
      <c r="I27" s="8">
        <v>163.01</v>
      </c>
      <c r="J27" s="8">
        <v>206.6</v>
      </c>
      <c r="K27" s="8">
        <v>154.9</v>
      </c>
      <c r="L27" s="8">
        <v>183.3</v>
      </c>
      <c r="M27" s="8">
        <v>127.85</v>
      </c>
      <c r="N27" s="8">
        <v>125.45</v>
      </c>
      <c r="O27" s="8">
        <v>119.77</v>
      </c>
      <c r="P27" s="8">
        <v>125.45</v>
      </c>
      <c r="Q27" s="8">
        <v>119.77</v>
      </c>
      <c r="R27" s="9">
        <v>120.3</v>
      </c>
    </row>
    <row r="28" spans="1:18" ht="12.75" customHeight="1">
      <c r="A28" s="115">
        <f t="shared" si="0"/>
        <v>23</v>
      </c>
      <c r="B28" s="4" t="s">
        <v>1051</v>
      </c>
      <c r="C28" s="8">
        <v>245.3</v>
      </c>
      <c r="D28" s="8">
        <v>231.2</v>
      </c>
      <c r="E28" s="8">
        <v>189.5</v>
      </c>
      <c r="F28" s="8">
        <v>167.69</v>
      </c>
      <c r="G28" s="8">
        <v>162.01</v>
      </c>
      <c r="H28" s="8">
        <v>167.69</v>
      </c>
      <c r="I28" s="8">
        <v>162.01</v>
      </c>
      <c r="J28" s="8">
        <v>203.6</v>
      </c>
      <c r="K28" s="8">
        <v>152.9</v>
      </c>
      <c r="L28" s="8">
        <v>180.3</v>
      </c>
      <c r="M28" s="8">
        <v>123.85</v>
      </c>
      <c r="N28" s="8">
        <v>121.45</v>
      </c>
      <c r="O28" s="8">
        <v>115.77</v>
      </c>
      <c r="P28" s="8">
        <v>121.45</v>
      </c>
      <c r="Q28" s="8">
        <v>115.77</v>
      </c>
      <c r="R28" s="9">
        <v>119.3</v>
      </c>
    </row>
    <row r="29" spans="1:18" ht="12.75" customHeight="1">
      <c r="A29" s="115">
        <f t="shared" si="0"/>
        <v>24</v>
      </c>
      <c r="B29" s="4" t="s">
        <v>1055</v>
      </c>
      <c r="C29" s="8">
        <v>241.3</v>
      </c>
      <c r="D29" s="8">
        <v>226.2</v>
      </c>
      <c r="E29" s="8">
        <v>184.5</v>
      </c>
      <c r="F29" s="8">
        <v>162.69</v>
      </c>
      <c r="G29" s="8">
        <v>157.01</v>
      </c>
      <c r="H29" s="8">
        <v>162.69</v>
      </c>
      <c r="I29" s="8">
        <v>157.01</v>
      </c>
      <c r="J29" s="8">
        <v>199.6</v>
      </c>
      <c r="K29" s="8">
        <v>149.9</v>
      </c>
      <c r="L29" s="8">
        <v>177.3</v>
      </c>
      <c r="M29" s="8">
        <v>121.85</v>
      </c>
      <c r="N29" s="8">
        <v>119.45</v>
      </c>
      <c r="O29" s="8">
        <v>113.77</v>
      </c>
      <c r="P29" s="8">
        <v>119.45</v>
      </c>
      <c r="Q29" s="8">
        <v>113.77</v>
      </c>
      <c r="R29" s="9">
        <v>118.3</v>
      </c>
    </row>
    <row r="30" spans="1:18" ht="12.75" customHeight="1">
      <c r="A30" s="115">
        <f t="shared" si="0"/>
        <v>25</v>
      </c>
      <c r="B30" s="4" t="s">
        <v>1052</v>
      </c>
      <c r="C30" s="8">
        <v>240.3</v>
      </c>
      <c r="D30" s="8">
        <v>225.2</v>
      </c>
      <c r="E30" s="8">
        <v>186.5</v>
      </c>
      <c r="F30" s="8">
        <v>164.69</v>
      </c>
      <c r="G30" s="8">
        <v>159.01</v>
      </c>
      <c r="H30" s="8">
        <v>164.69</v>
      </c>
      <c r="I30" s="8">
        <v>159.01</v>
      </c>
      <c r="J30" s="8">
        <v>200.6</v>
      </c>
      <c r="K30" s="8">
        <v>150.9</v>
      </c>
      <c r="L30" s="8">
        <v>177.3</v>
      </c>
      <c r="M30" s="8">
        <v>121.85</v>
      </c>
      <c r="N30" s="8">
        <v>120.45</v>
      </c>
      <c r="O30" s="8">
        <v>114.77</v>
      </c>
      <c r="P30" s="8">
        <v>120.45</v>
      </c>
      <c r="Q30" s="8">
        <v>114.77</v>
      </c>
      <c r="R30" s="9">
        <v>117.3</v>
      </c>
    </row>
    <row r="31" spans="1:18" ht="12.75" customHeight="1">
      <c r="A31" s="115">
        <f t="shared" si="0"/>
        <v>26</v>
      </c>
      <c r="B31" s="4" t="s">
        <v>1056</v>
      </c>
      <c r="C31" s="8">
        <v>236.3</v>
      </c>
      <c r="D31" s="8">
        <v>222.2</v>
      </c>
      <c r="E31" s="8">
        <v>183.5</v>
      </c>
      <c r="F31" s="8">
        <v>161.69</v>
      </c>
      <c r="G31" s="8">
        <v>156.01</v>
      </c>
      <c r="H31" s="8">
        <v>161.69</v>
      </c>
      <c r="I31" s="8">
        <v>156.01</v>
      </c>
      <c r="J31" s="8">
        <v>197.6</v>
      </c>
      <c r="K31" s="8">
        <v>146.9</v>
      </c>
      <c r="L31" s="8">
        <v>174.3</v>
      </c>
      <c r="M31" s="8">
        <v>120.85</v>
      </c>
      <c r="N31" s="8">
        <v>118.45</v>
      </c>
      <c r="O31" s="8">
        <v>112.77</v>
      </c>
      <c r="P31" s="8">
        <v>118.45</v>
      </c>
      <c r="Q31" s="8">
        <v>112.77</v>
      </c>
      <c r="R31" s="9">
        <v>116.3</v>
      </c>
    </row>
    <row r="32" spans="1:18" ht="12.75" customHeight="1">
      <c r="A32" s="115">
        <f t="shared" si="0"/>
        <v>27</v>
      </c>
      <c r="B32" s="4" t="s">
        <v>1057</v>
      </c>
      <c r="C32" s="8">
        <v>238.3</v>
      </c>
      <c r="D32" s="8">
        <v>223.2</v>
      </c>
      <c r="E32" s="8">
        <v>182.5</v>
      </c>
      <c r="F32" s="8">
        <v>160.69</v>
      </c>
      <c r="G32" s="8">
        <v>155.01</v>
      </c>
      <c r="H32" s="8">
        <v>160.69</v>
      </c>
      <c r="I32" s="8">
        <v>155.01</v>
      </c>
      <c r="J32" s="8">
        <v>197.6</v>
      </c>
      <c r="K32" s="8">
        <v>147.9</v>
      </c>
      <c r="L32" s="8">
        <v>174.3</v>
      </c>
      <c r="M32" s="8">
        <v>123.85</v>
      </c>
      <c r="N32" s="8">
        <v>121.45</v>
      </c>
      <c r="O32" s="8">
        <v>115.77</v>
      </c>
      <c r="P32" s="8">
        <v>121.45</v>
      </c>
      <c r="Q32" s="8">
        <v>115.77</v>
      </c>
      <c r="R32" s="9">
        <v>116.3</v>
      </c>
    </row>
    <row r="33" spans="1:18" ht="12.75" customHeight="1">
      <c r="A33" s="115">
        <f t="shared" si="0"/>
        <v>28</v>
      </c>
      <c r="B33" s="4" t="s">
        <v>1058</v>
      </c>
      <c r="C33" s="8">
        <v>242.3</v>
      </c>
      <c r="D33" s="8">
        <v>228.2</v>
      </c>
      <c r="E33" s="8">
        <v>187.5</v>
      </c>
      <c r="F33" s="8">
        <v>165.69</v>
      </c>
      <c r="G33" s="8">
        <v>160.01</v>
      </c>
      <c r="H33" s="8">
        <v>165.69</v>
      </c>
      <c r="I33" s="8">
        <v>160.01</v>
      </c>
      <c r="J33" s="8">
        <v>201.6</v>
      </c>
      <c r="K33" s="8">
        <v>150.9</v>
      </c>
      <c r="L33" s="8">
        <v>178.3</v>
      </c>
      <c r="M33" s="8">
        <v>128.85</v>
      </c>
      <c r="N33" s="8">
        <v>126.45</v>
      </c>
      <c r="O33" s="8">
        <v>120.77</v>
      </c>
      <c r="P33" s="8">
        <v>126.45</v>
      </c>
      <c r="Q33" s="8">
        <v>120.77</v>
      </c>
      <c r="R33" s="9">
        <v>120.3</v>
      </c>
    </row>
    <row r="34" spans="1:18" ht="12.75" customHeight="1">
      <c r="A34" s="115">
        <f t="shared" si="0"/>
        <v>29</v>
      </c>
      <c r="B34" s="4" t="s">
        <v>1059</v>
      </c>
      <c r="C34" s="8">
        <v>241.3</v>
      </c>
      <c r="D34" s="8">
        <v>228.2</v>
      </c>
      <c r="E34" s="8">
        <v>186.5</v>
      </c>
      <c r="F34" s="8">
        <v>164.69</v>
      </c>
      <c r="G34" s="8">
        <v>159.01</v>
      </c>
      <c r="H34" s="8">
        <v>164.69</v>
      </c>
      <c r="I34" s="8">
        <v>159.01</v>
      </c>
      <c r="J34" s="8">
        <v>200.6</v>
      </c>
      <c r="K34" s="8">
        <v>151.9</v>
      </c>
      <c r="L34" s="8">
        <v>177.3</v>
      </c>
      <c r="M34" s="8">
        <v>129.85</v>
      </c>
      <c r="N34" s="8">
        <v>127.45</v>
      </c>
      <c r="O34" s="8">
        <v>121.77</v>
      </c>
      <c r="P34" s="8">
        <v>127.45</v>
      </c>
      <c r="Q34" s="8">
        <v>121.77</v>
      </c>
      <c r="R34" s="9">
        <v>121.3</v>
      </c>
    </row>
    <row r="35" spans="1:18" ht="12.75" customHeight="1">
      <c r="A35" s="115">
        <f t="shared" si="0"/>
        <v>30</v>
      </c>
      <c r="B35" s="4" t="s">
        <v>1060</v>
      </c>
      <c r="C35" s="8">
        <v>239.3</v>
      </c>
      <c r="D35" s="8">
        <v>224.2</v>
      </c>
      <c r="E35" s="8">
        <v>182.5</v>
      </c>
      <c r="F35" s="8">
        <v>160.69</v>
      </c>
      <c r="G35" s="8">
        <v>155.01</v>
      </c>
      <c r="H35" s="8">
        <v>160.69</v>
      </c>
      <c r="I35" s="8">
        <v>155.01</v>
      </c>
      <c r="J35" s="8">
        <v>196.6</v>
      </c>
      <c r="K35" s="8">
        <v>147.9</v>
      </c>
      <c r="L35" s="8">
        <v>174.3</v>
      </c>
      <c r="M35" s="8">
        <v>125.85</v>
      </c>
      <c r="N35" s="8">
        <v>123.45</v>
      </c>
      <c r="O35" s="8">
        <v>117.77</v>
      </c>
      <c r="P35" s="8">
        <v>123.45</v>
      </c>
      <c r="Q35" s="8">
        <v>117.77</v>
      </c>
      <c r="R35" s="9">
        <v>120.3</v>
      </c>
    </row>
    <row r="36" spans="1:18" ht="12.75" customHeight="1">
      <c r="A36" s="115">
        <f t="shared" si="0"/>
        <v>31</v>
      </c>
      <c r="B36" s="4" t="s">
        <v>1061</v>
      </c>
      <c r="C36" s="8">
        <v>241.3</v>
      </c>
      <c r="D36" s="8">
        <v>226.2</v>
      </c>
      <c r="E36" s="8">
        <v>184.5</v>
      </c>
      <c r="F36" s="8">
        <v>162.69</v>
      </c>
      <c r="G36" s="8">
        <v>157.01</v>
      </c>
      <c r="H36" s="8">
        <v>162.69</v>
      </c>
      <c r="I36" s="8">
        <v>157.01</v>
      </c>
      <c r="J36" s="8">
        <v>198.6</v>
      </c>
      <c r="K36" s="8">
        <v>148.9</v>
      </c>
      <c r="L36" s="8">
        <v>176.3</v>
      </c>
      <c r="M36" s="8">
        <v>125.85</v>
      </c>
      <c r="N36" s="8">
        <v>123.45</v>
      </c>
      <c r="O36" s="8">
        <v>117.77</v>
      </c>
      <c r="P36" s="8">
        <v>123.45</v>
      </c>
      <c r="Q36" s="8">
        <v>117.77</v>
      </c>
      <c r="R36" s="9">
        <v>123.3</v>
      </c>
    </row>
    <row r="37" spans="1:18" ht="12.75" customHeight="1">
      <c r="A37" s="115">
        <f t="shared" si="0"/>
        <v>32</v>
      </c>
      <c r="B37" s="4" t="s">
        <v>1062</v>
      </c>
      <c r="C37" s="8">
        <v>241.3</v>
      </c>
      <c r="D37" s="8">
        <v>226.2</v>
      </c>
      <c r="E37" s="8">
        <v>184.5</v>
      </c>
      <c r="F37" s="8">
        <v>164.69</v>
      </c>
      <c r="G37" s="8">
        <v>159.01</v>
      </c>
      <c r="H37" s="8">
        <v>164.69</v>
      </c>
      <c r="I37" s="8">
        <v>159.01</v>
      </c>
      <c r="J37" s="8">
        <v>199.6</v>
      </c>
      <c r="K37" s="8">
        <v>150.9</v>
      </c>
      <c r="L37" s="8">
        <v>178.3</v>
      </c>
      <c r="M37" s="8">
        <v>125.85</v>
      </c>
      <c r="N37" s="8">
        <v>123.45</v>
      </c>
      <c r="O37" s="8">
        <v>117.77</v>
      </c>
      <c r="P37" s="8">
        <v>123.45</v>
      </c>
      <c r="Q37" s="8">
        <v>117.77</v>
      </c>
      <c r="R37" s="9">
        <v>123.3</v>
      </c>
    </row>
    <row r="38" spans="1:18" ht="12.75" customHeight="1">
      <c r="A38" s="115">
        <f t="shared" si="0"/>
        <v>33</v>
      </c>
      <c r="B38" s="4" t="s">
        <v>1063</v>
      </c>
      <c r="C38" s="8">
        <v>241.3</v>
      </c>
      <c r="D38" s="8">
        <v>226.2</v>
      </c>
      <c r="E38" s="8">
        <v>184.5</v>
      </c>
      <c r="F38" s="8">
        <v>165.69</v>
      </c>
      <c r="G38" s="8">
        <v>160.01</v>
      </c>
      <c r="H38" s="8">
        <v>165.69</v>
      </c>
      <c r="I38" s="8">
        <v>160.01</v>
      </c>
      <c r="J38" s="8">
        <v>199.6</v>
      </c>
      <c r="K38" s="8">
        <v>148.9</v>
      </c>
      <c r="L38" s="8">
        <v>176.3</v>
      </c>
      <c r="M38" s="8">
        <v>122.85</v>
      </c>
      <c r="N38" s="8">
        <v>120.45</v>
      </c>
      <c r="O38" s="8">
        <v>114.77</v>
      </c>
      <c r="P38" s="8">
        <v>120.45</v>
      </c>
      <c r="Q38" s="8">
        <v>114.77</v>
      </c>
      <c r="R38" s="9">
        <v>122.3</v>
      </c>
    </row>
    <row r="39" spans="1:20" ht="12.75" customHeight="1">
      <c r="A39" s="115">
        <f t="shared" si="0"/>
        <v>34</v>
      </c>
      <c r="B39" s="4" t="s">
        <v>1064</v>
      </c>
      <c r="C39" s="8">
        <v>241.3</v>
      </c>
      <c r="D39" s="8">
        <v>228.2</v>
      </c>
      <c r="E39" s="8">
        <v>187.5</v>
      </c>
      <c r="F39" s="8">
        <v>165.69</v>
      </c>
      <c r="G39" s="8">
        <v>160.01</v>
      </c>
      <c r="H39" s="8">
        <v>165.69</v>
      </c>
      <c r="I39" s="8">
        <v>160.01</v>
      </c>
      <c r="J39" s="8">
        <v>198.6</v>
      </c>
      <c r="K39" s="8">
        <v>147.9</v>
      </c>
      <c r="L39" s="8">
        <v>177.3</v>
      </c>
      <c r="M39" s="8">
        <v>120.85</v>
      </c>
      <c r="N39" s="8">
        <v>118.45</v>
      </c>
      <c r="O39" s="8">
        <v>112.77</v>
      </c>
      <c r="P39" s="8">
        <v>118.45</v>
      </c>
      <c r="Q39" s="8">
        <v>112.77</v>
      </c>
      <c r="R39" s="9">
        <v>122.3</v>
      </c>
      <c r="T39" s="111"/>
    </row>
    <row r="40" spans="1:20" ht="12.75" customHeight="1">
      <c r="A40" s="115">
        <f t="shared" si="0"/>
        <v>35</v>
      </c>
      <c r="B40" s="4" t="s">
        <v>1065</v>
      </c>
      <c r="C40" s="8">
        <v>241.3</v>
      </c>
      <c r="D40" s="8">
        <v>228.2</v>
      </c>
      <c r="E40" s="8">
        <v>188.5</v>
      </c>
      <c r="F40" s="8">
        <v>165.69</v>
      </c>
      <c r="G40" s="8">
        <v>160.01</v>
      </c>
      <c r="H40" s="8">
        <v>165.69</v>
      </c>
      <c r="I40" s="8">
        <v>160.01</v>
      </c>
      <c r="J40" s="8">
        <v>198.6</v>
      </c>
      <c r="K40" s="8">
        <v>148.9</v>
      </c>
      <c r="L40" s="8">
        <v>175.7</v>
      </c>
      <c r="M40" s="8">
        <v>120.85</v>
      </c>
      <c r="N40" s="8">
        <v>118.45</v>
      </c>
      <c r="O40" s="8">
        <v>112.77</v>
      </c>
      <c r="P40" s="8">
        <v>118.45</v>
      </c>
      <c r="Q40" s="8">
        <v>112.77</v>
      </c>
      <c r="R40" s="9">
        <v>122.3</v>
      </c>
      <c r="T40" s="111"/>
    </row>
    <row r="41" spans="1:20" ht="12.75" customHeight="1">
      <c r="A41" s="115">
        <f t="shared" si="0"/>
        <v>36</v>
      </c>
      <c r="B41" s="4" t="s">
        <v>1066</v>
      </c>
      <c r="C41" s="8">
        <v>242.4</v>
      </c>
      <c r="D41" s="8">
        <v>230.7</v>
      </c>
      <c r="E41" s="8">
        <v>191.5</v>
      </c>
      <c r="F41" s="8">
        <v>168.69</v>
      </c>
      <c r="G41" s="8">
        <v>163.01</v>
      </c>
      <c r="H41" s="8">
        <v>168.69</v>
      </c>
      <c r="I41" s="8">
        <v>163.01</v>
      </c>
      <c r="J41" s="8">
        <v>202.6</v>
      </c>
      <c r="K41" s="8">
        <v>152.9</v>
      </c>
      <c r="L41" s="8">
        <v>178.7</v>
      </c>
      <c r="M41" s="8">
        <v>122.85</v>
      </c>
      <c r="N41" s="8">
        <v>120.45</v>
      </c>
      <c r="O41" s="8">
        <v>114.77</v>
      </c>
      <c r="P41" s="8">
        <v>120.45</v>
      </c>
      <c r="Q41" s="8">
        <v>114.77</v>
      </c>
      <c r="R41" s="9">
        <v>124.3</v>
      </c>
      <c r="T41" s="111"/>
    </row>
    <row r="42" spans="1:20" ht="12.75" customHeight="1">
      <c r="A42" s="115">
        <f t="shared" si="0"/>
        <v>37</v>
      </c>
      <c r="B42" s="4" t="s">
        <v>1067</v>
      </c>
      <c r="C42" s="8">
        <v>243.4</v>
      </c>
      <c r="D42" s="8">
        <v>232.7</v>
      </c>
      <c r="E42" s="8">
        <v>195.8</v>
      </c>
      <c r="F42" s="8">
        <v>173.89</v>
      </c>
      <c r="G42" s="8">
        <v>168.21</v>
      </c>
      <c r="H42" s="8">
        <v>173.89</v>
      </c>
      <c r="I42" s="8">
        <v>168.21</v>
      </c>
      <c r="J42" s="8">
        <v>206.9</v>
      </c>
      <c r="K42" s="8">
        <v>155.9</v>
      </c>
      <c r="L42" s="8">
        <v>183.6</v>
      </c>
      <c r="M42" s="8">
        <v>125.35</v>
      </c>
      <c r="N42" s="8">
        <v>122.95</v>
      </c>
      <c r="O42" s="8">
        <v>117.27</v>
      </c>
      <c r="P42" s="8">
        <v>122.95</v>
      </c>
      <c r="Q42" s="8">
        <v>117.27</v>
      </c>
      <c r="R42" s="9">
        <v>127.6</v>
      </c>
      <c r="T42" s="111"/>
    </row>
    <row r="43" spans="1:20" ht="12.75" customHeight="1">
      <c r="A43" s="115">
        <f t="shared" si="0"/>
        <v>38</v>
      </c>
      <c r="B43" s="4" t="s">
        <v>1068</v>
      </c>
      <c r="C43" s="8">
        <v>241.6</v>
      </c>
      <c r="D43" s="8">
        <v>231.2</v>
      </c>
      <c r="E43" s="8">
        <v>195.8</v>
      </c>
      <c r="F43" s="8">
        <v>173.89</v>
      </c>
      <c r="G43" s="8">
        <v>168.21</v>
      </c>
      <c r="H43" s="8">
        <v>173.89</v>
      </c>
      <c r="I43" s="8">
        <v>168.21</v>
      </c>
      <c r="J43" s="8">
        <v>206.9</v>
      </c>
      <c r="K43" s="8">
        <v>155.9</v>
      </c>
      <c r="L43" s="8">
        <v>183.6</v>
      </c>
      <c r="M43" s="8">
        <v>125.35</v>
      </c>
      <c r="N43" s="8">
        <v>122.95</v>
      </c>
      <c r="O43" s="8">
        <v>117.27</v>
      </c>
      <c r="P43" s="8">
        <v>122.95</v>
      </c>
      <c r="Q43" s="8">
        <v>117.27</v>
      </c>
      <c r="R43" s="9">
        <v>128.6</v>
      </c>
      <c r="T43" s="111"/>
    </row>
    <row r="44" spans="1:20" ht="12.75" customHeight="1">
      <c r="A44" s="115">
        <f t="shared" si="0"/>
        <v>39</v>
      </c>
      <c r="B44" s="4" t="s">
        <v>1070</v>
      </c>
      <c r="C44" s="8">
        <v>240.6</v>
      </c>
      <c r="D44" s="8">
        <v>230.2</v>
      </c>
      <c r="E44" s="8">
        <v>193.8</v>
      </c>
      <c r="F44" s="8">
        <v>171.89</v>
      </c>
      <c r="G44" s="8">
        <v>166.21</v>
      </c>
      <c r="H44" s="8">
        <v>171.89</v>
      </c>
      <c r="I44" s="8">
        <v>166.21</v>
      </c>
      <c r="J44" s="8">
        <v>205.9</v>
      </c>
      <c r="K44" s="8">
        <v>153.9</v>
      </c>
      <c r="L44" s="8">
        <v>181.6</v>
      </c>
      <c r="M44" s="8">
        <v>125.35</v>
      </c>
      <c r="N44" s="8">
        <v>122.95</v>
      </c>
      <c r="O44" s="8">
        <v>117.27</v>
      </c>
      <c r="P44" s="8">
        <v>122.95</v>
      </c>
      <c r="Q44" s="8">
        <v>117.27</v>
      </c>
      <c r="R44" s="9">
        <v>127.6</v>
      </c>
      <c r="S44" s="97"/>
      <c r="T44" s="111"/>
    </row>
    <row r="45" spans="1:20" ht="12.75" customHeight="1">
      <c r="A45" s="115">
        <f t="shared" si="0"/>
        <v>40</v>
      </c>
      <c r="B45" s="4" t="s">
        <v>1071</v>
      </c>
      <c r="C45" s="8">
        <v>240.6</v>
      </c>
      <c r="D45" s="8">
        <v>230.2</v>
      </c>
      <c r="E45" s="8">
        <v>193.8</v>
      </c>
      <c r="F45" s="8">
        <v>171.89</v>
      </c>
      <c r="G45" s="8">
        <v>166.21</v>
      </c>
      <c r="H45" s="8">
        <v>171.89</v>
      </c>
      <c r="I45" s="8">
        <v>166.21</v>
      </c>
      <c r="J45" s="8">
        <v>205.9</v>
      </c>
      <c r="K45" s="8">
        <v>153.9</v>
      </c>
      <c r="L45" s="8">
        <v>181.6</v>
      </c>
      <c r="M45" s="8">
        <v>125.35</v>
      </c>
      <c r="N45" s="8">
        <v>122.95</v>
      </c>
      <c r="O45" s="8">
        <v>117.27</v>
      </c>
      <c r="P45" s="8">
        <v>122.95</v>
      </c>
      <c r="Q45" s="8">
        <v>117.27</v>
      </c>
      <c r="R45" s="9">
        <v>127.6</v>
      </c>
      <c r="T45" s="111"/>
    </row>
    <row r="46" spans="1:20" ht="12.75" customHeight="1" hidden="1" outlineLevel="1">
      <c r="A46" s="115">
        <f t="shared" si="0"/>
        <v>41</v>
      </c>
      <c r="B46" s="4" t="s">
        <v>1016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0</v>
      </c>
      <c r="T46" s="111"/>
    </row>
    <row r="47" spans="1:20" ht="12.75" customHeight="1" hidden="1" outlineLevel="1">
      <c r="A47" s="115">
        <f t="shared" si="0"/>
        <v>42</v>
      </c>
      <c r="B47" s="4" t="s">
        <v>1017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v>0</v>
      </c>
      <c r="T47" s="111"/>
    </row>
    <row r="48" spans="1:20" ht="12.75" customHeight="1" hidden="1" outlineLevel="1">
      <c r="A48" s="115">
        <f t="shared" si="0"/>
        <v>43</v>
      </c>
      <c r="B48" s="4" t="s">
        <v>1018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>
        <v>0</v>
      </c>
      <c r="T48" s="111"/>
    </row>
    <row r="49" spans="1:20" ht="12.75" customHeight="1" hidden="1" outlineLevel="1">
      <c r="A49" s="115">
        <f t="shared" si="0"/>
        <v>44</v>
      </c>
      <c r="B49" s="4" t="s">
        <v>1019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9">
        <v>0</v>
      </c>
      <c r="T49" s="111"/>
    </row>
    <row r="50" spans="1:20" ht="12.75" customHeight="1" hidden="1" outlineLevel="1">
      <c r="A50" s="115">
        <f t="shared" si="0"/>
        <v>45</v>
      </c>
      <c r="B50" s="4" t="s">
        <v>1020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0</v>
      </c>
      <c r="T50" s="111"/>
    </row>
    <row r="51" spans="1:20" ht="12.75" customHeight="1" hidden="1" outlineLevel="1">
      <c r="A51" s="115">
        <f t="shared" si="0"/>
        <v>46</v>
      </c>
      <c r="B51" s="4" t="s">
        <v>1021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9">
        <v>0</v>
      </c>
      <c r="T51" s="111"/>
    </row>
    <row r="52" spans="1:20" ht="12.75" customHeight="1" hidden="1" outlineLevel="1">
      <c r="A52" s="115">
        <f t="shared" si="0"/>
        <v>47</v>
      </c>
      <c r="B52" s="4" t="s">
        <v>1022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9">
        <v>0</v>
      </c>
      <c r="T52" s="111"/>
    </row>
    <row r="53" spans="1:20" ht="12.75" customHeight="1" hidden="1" outlineLevel="1">
      <c r="A53" s="115">
        <f t="shared" si="0"/>
        <v>48</v>
      </c>
      <c r="B53" s="4" t="s">
        <v>1023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>
        <v>0</v>
      </c>
      <c r="T53" s="111"/>
    </row>
    <row r="54" spans="1:20" ht="12.75" customHeight="1" hidden="1" outlineLevel="1">
      <c r="A54" s="115">
        <f t="shared" si="0"/>
        <v>49</v>
      </c>
      <c r="B54" s="4" t="s">
        <v>1024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9">
        <v>0</v>
      </c>
      <c r="T54" s="111"/>
    </row>
    <row r="55" spans="1:20" ht="12.75" customHeight="1" hidden="1" outlineLevel="1">
      <c r="A55" s="115">
        <f t="shared" si="0"/>
        <v>50</v>
      </c>
      <c r="B55" s="4" t="s">
        <v>1025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0</v>
      </c>
      <c r="T55" s="111"/>
    </row>
    <row r="56" spans="1:20" ht="12.75" customHeight="1" hidden="1" outlineLevel="1">
      <c r="A56" s="115">
        <f t="shared" si="0"/>
        <v>51</v>
      </c>
      <c r="B56" s="4" t="s">
        <v>1026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0</v>
      </c>
      <c r="T56" s="111"/>
    </row>
    <row r="57" spans="1:20" ht="12.75" customHeight="1" hidden="1" outlineLevel="1">
      <c r="A57" s="115">
        <f t="shared" si="0"/>
        <v>52</v>
      </c>
      <c r="B57" s="4" t="s">
        <v>1027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12">
        <v>0</v>
      </c>
      <c r="T57" s="111"/>
    </row>
    <row r="58" spans="1:20" ht="13.5" collapsed="1" thickBot="1">
      <c r="A58" s="116"/>
      <c r="B58" s="120" t="s">
        <v>65</v>
      </c>
      <c r="C58" s="121">
        <f>AVERAGE(C6:C45)</f>
        <v>237.4275000000001</v>
      </c>
      <c r="D58" s="121">
        <f aca="true" t="shared" si="1" ref="D58:R58">AVERAGE(D6:D45)</f>
        <v>223.39999999999995</v>
      </c>
      <c r="E58" s="121">
        <f t="shared" si="1"/>
        <v>182.63000000000002</v>
      </c>
      <c r="F58" s="121">
        <f t="shared" si="1"/>
        <v>160.58499999999998</v>
      </c>
      <c r="G58" s="121">
        <f t="shared" si="1"/>
        <v>154.90500000000011</v>
      </c>
      <c r="H58" s="121">
        <f t="shared" si="1"/>
        <v>160.58499999999998</v>
      </c>
      <c r="I58" s="121">
        <f t="shared" si="1"/>
        <v>154.90500000000011</v>
      </c>
      <c r="J58" s="121">
        <f t="shared" si="1"/>
        <v>195.48000000000008</v>
      </c>
      <c r="K58" s="121">
        <f t="shared" si="1"/>
        <v>145.74999999999994</v>
      </c>
      <c r="L58" s="121">
        <f t="shared" si="1"/>
        <v>172.7500000000001</v>
      </c>
      <c r="M58" s="121">
        <f t="shared" si="1"/>
        <v>118.55</v>
      </c>
      <c r="N58" s="121">
        <f t="shared" si="1"/>
        <v>116.17237499999992</v>
      </c>
      <c r="O58" s="121">
        <f t="shared" si="1"/>
        <v>110.49500000000003</v>
      </c>
      <c r="P58" s="121">
        <f t="shared" si="1"/>
        <v>116.17499999999993</v>
      </c>
      <c r="Q58" s="121">
        <f t="shared" si="1"/>
        <v>110.49500000000003</v>
      </c>
      <c r="R58" s="121">
        <f t="shared" si="1"/>
        <v>117.88000000000008</v>
      </c>
      <c r="T58" s="111"/>
    </row>
    <row r="59" ht="9.75" customHeight="1" thickTop="1">
      <c r="T59" s="111"/>
    </row>
    <row r="60" spans="2:6" ht="12.75">
      <c r="B60" s="117" t="s">
        <v>1069</v>
      </c>
      <c r="C60" s="118"/>
      <c r="D60" s="118"/>
      <c r="E60" s="118"/>
      <c r="F60" s="118"/>
    </row>
    <row r="61" ht="12.75">
      <c r="B61" s="98"/>
    </row>
    <row r="66" ht="12.75"/>
    <row r="67" ht="12.75"/>
    <row r="68" ht="12.75"/>
    <row r="69" ht="12.75"/>
    <row r="70" ht="12.75"/>
  </sheetData>
  <sheetProtection/>
  <mergeCells count="4">
    <mergeCell ref="A1:R1"/>
    <mergeCell ref="A2:R2"/>
    <mergeCell ref="C4:R4"/>
    <mergeCell ref="B3:R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9.140625" defaultRowHeight="12.75"/>
  <cols>
    <col min="1" max="1" width="3.00390625" style="0" bestFit="1" customWidth="1"/>
    <col min="2" max="2" width="36.421875" style="0" customWidth="1"/>
    <col min="3" max="3" width="9.00390625" style="0" bestFit="1" customWidth="1"/>
    <col min="4" max="4" width="9.00390625" style="0" customWidth="1"/>
    <col min="5" max="7" width="8.140625" style="0" bestFit="1" customWidth="1"/>
    <col min="8" max="10" width="7.7109375" style="0" bestFit="1" customWidth="1"/>
    <col min="11" max="11" width="6.7109375" style="0" bestFit="1" customWidth="1"/>
    <col min="12" max="12" width="9.140625" style="0" customWidth="1"/>
    <col min="13" max="15" width="7.7109375" style="0" bestFit="1" customWidth="1"/>
    <col min="16" max="16" width="5.57421875" style="0" bestFit="1" customWidth="1"/>
  </cols>
  <sheetData>
    <row r="1" spans="1:16" ht="18">
      <c r="A1" s="131" t="s">
        <v>391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32" t="s">
        <v>704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2:16" ht="12.75">
      <c r="B5" s="14" t="s">
        <v>468</v>
      </c>
      <c r="C5" s="133" t="s">
        <v>634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6" ht="12.75">
      <c r="A7" s="1">
        <v>1</v>
      </c>
      <c r="B7" s="4" t="s">
        <v>520</v>
      </c>
      <c r="C7" s="8">
        <v>38.65</v>
      </c>
      <c r="D7" s="8">
        <v>33.8</v>
      </c>
      <c r="E7" s="8">
        <v>23.34</v>
      </c>
      <c r="F7" s="8">
        <v>15.61</v>
      </c>
      <c r="G7" s="8">
        <v>14.93</v>
      </c>
      <c r="H7" s="8">
        <v>25.41</v>
      </c>
      <c r="I7" s="8">
        <v>22.25</v>
      </c>
      <c r="J7" s="8">
        <v>21.57</v>
      </c>
      <c r="K7" s="8">
        <v>19.62</v>
      </c>
      <c r="L7" s="8">
        <v>23.29</v>
      </c>
      <c r="M7" s="8">
        <v>13.51</v>
      </c>
      <c r="N7" s="8">
        <v>13.51</v>
      </c>
      <c r="O7" s="8">
        <v>8.19</v>
      </c>
      <c r="P7" s="9">
        <v>0</v>
      </c>
    </row>
    <row r="8" spans="1:16" ht="12.75">
      <c r="A8" s="1">
        <f>A7+1</f>
        <v>2</v>
      </c>
      <c r="B8" s="4" t="s">
        <v>521</v>
      </c>
      <c r="C8" s="8">
        <v>40.38</v>
      </c>
      <c r="D8" s="8">
        <v>35.53</v>
      </c>
      <c r="E8" s="8">
        <v>23.88</v>
      </c>
      <c r="F8" s="8">
        <v>16.15</v>
      </c>
      <c r="G8" s="8">
        <v>15.47</v>
      </c>
      <c r="H8" s="8">
        <v>25.95</v>
      </c>
      <c r="I8" s="8">
        <v>22.79</v>
      </c>
      <c r="J8" s="8">
        <v>22.11</v>
      </c>
      <c r="K8" s="8">
        <v>20.45</v>
      </c>
      <c r="L8" s="8">
        <v>24.12</v>
      </c>
      <c r="M8" s="8">
        <v>13.88</v>
      </c>
      <c r="N8" s="8">
        <v>8.56</v>
      </c>
      <c r="O8" s="8">
        <v>7.88</v>
      </c>
      <c r="P8" s="9">
        <v>0</v>
      </c>
    </row>
    <row r="9" spans="1:16" ht="12.75">
      <c r="A9" s="1">
        <f>A8+1</f>
        <v>3</v>
      </c>
      <c r="B9" s="4" t="s">
        <v>469</v>
      </c>
      <c r="C9" s="8">
        <v>41.73</v>
      </c>
      <c r="D9" s="8">
        <v>36.48</v>
      </c>
      <c r="E9" s="8">
        <v>23.28</v>
      </c>
      <c r="F9" s="8">
        <v>15.55</v>
      </c>
      <c r="G9" s="8">
        <v>14.87</v>
      </c>
      <c r="H9" s="8">
        <v>25.35</v>
      </c>
      <c r="I9" s="8">
        <v>22.19</v>
      </c>
      <c r="J9" s="8">
        <v>21.51</v>
      </c>
      <c r="K9" s="8">
        <v>19.74</v>
      </c>
      <c r="L9" s="8">
        <v>23.41</v>
      </c>
      <c r="M9" s="8">
        <v>14.36</v>
      </c>
      <c r="N9" s="8">
        <v>9.03</v>
      </c>
      <c r="O9" s="8">
        <v>8.35</v>
      </c>
      <c r="P9" s="9">
        <v>0</v>
      </c>
    </row>
    <row r="10" spans="1:16" ht="12.75">
      <c r="A10" s="1">
        <f aca="true" t="shared" si="0" ref="A10:A58">A9+1</f>
        <v>4</v>
      </c>
      <c r="B10" s="4" t="s">
        <v>470</v>
      </c>
      <c r="C10" s="8">
        <v>42</v>
      </c>
      <c r="D10" s="8">
        <v>36.69</v>
      </c>
      <c r="E10" s="8">
        <v>24.14</v>
      </c>
      <c r="F10" s="8">
        <v>16.41</v>
      </c>
      <c r="G10" s="8">
        <v>15.73</v>
      </c>
      <c r="H10" s="8">
        <v>26.22</v>
      </c>
      <c r="I10" s="8">
        <v>23.05</v>
      </c>
      <c r="J10" s="8">
        <v>22.37</v>
      </c>
      <c r="K10" s="8">
        <v>21.11</v>
      </c>
      <c r="L10" s="8">
        <v>24.78</v>
      </c>
      <c r="M10" s="8">
        <v>14.58</v>
      </c>
      <c r="N10" s="8">
        <v>9.26</v>
      </c>
      <c r="O10" s="8">
        <v>8.56</v>
      </c>
      <c r="P10" s="9">
        <v>0</v>
      </c>
    </row>
    <row r="11" spans="1:16" ht="12.75">
      <c r="A11" s="1">
        <f t="shared" si="0"/>
        <v>5</v>
      </c>
      <c r="B11" s="4" t="s">
        <v>471</v>
      </c>
      <c r="C11" s="8">
        <v>41.56</v>
      </c>
      <c r="D11" s="8">
        <v>36.33</v>
      </c>
      <c r="E11" s="8">
        <v>25</v>
      </c>
      <c r="F11" s="8">
        <v>17.27</v>
      </c>
      <c r="G11" s="8">
        <v>16.59</v>
      </c>
      <c r="H11" s="8">
        <v>27.08</v>
      </c>
      <c r="I11" s="8">
        <v>23.91</v>
      </c>
      <c r="J11" s="8">
        <v>23.23</v>
      </c>
      <c r="K11" s="8">
        <v>21.55</v>
      </c>
      <c r="L11" s="8">
        <v>25.22</v>
      </c>
      <c r="M11" s="8">
        <v>16.01</v>
      </c>
      <c r="N11" s="8">
        <v>10.68</v>
      </c>
      <c r="O11" s="8">
        <v>10</v>
      </c>
      <c r="P11" s="9">
        <v>0</v>
      </c>
    </row>
    <row r="12" spans="1:16" ht="12.75">
      <c r="A12" s="1">
        <f t="shared" si="0"/>
        <v>6</v>
      </c>
      <c r="B12" s="4" t="s">
        <v>472</v>
      </c>
      <c r="C12" s="8">
        <v>40.93</v>
      </c>
      <c r="D12" s="8">
        <v>35.54</v>
      </c>
      <c r="E12" s="8">
        <v>23.56</v>
      </c>
      <c r="F12" s="8">
        <v>15.83</v>
      </c>
      <c r="G12" s="8">
        <v>15.15</v>
      </c>
      <c r="H12" s="8">
        <v>25.61</v>
      </c>
      <c r="I12" s="8">
        <v>22.45</v>
      </c>
      <c r="J12" s="8">
        <v>21.77</v>
      </c>
      <c r="K12" s="8">
        <v>20.64</v>
      </c>
      <c r="L12" s="8">
        <v>24.31</v>
      </c>
      <c r="M12" s="8">
        <v>15.11</v>
      </c>
      <c r="N12" s="8">
        <v>9.78</v>
      </c>
      <c r="O12" s="8">
        <v>9.1</v>
      </c>
      <c r="P12" s="9">
        <v>0</v>
      </c>
    </row>
    <row r="13" spans="1:16" ht="12.75">
      <c r="A13" s="1">
        <f t="shared" si="0"/>
        <v>7</v>
      </c>
      <c r="B13" s="4" t="s">
        <v>473</v>
      </c>
      <c r="C13" s="8">
        <v>41.94</v>
      </c>
      <c r="D13" s="8">
        <v>36.83</v>
      </c>
      <c r="E13" s="8">
        <v>24.24</v>
      </c>
      <c r="F13" s="8">
        <v>16.5</v>
      </c>
      <c r="G13" s="8">
        <v>15.82</v>
      </c>
      <c r="H13" s="8">
        <v>26.29</v>
      </c>
      <c r="I13" s="8">
        <v>23.13</v>
      </c>
      <c r="J13" s="8">
        <v>22.45</v>
      </c>
      <c r="K13" s="8">
        <v>21.39</v>
      </c>
      <c r="L13" s="8">
        <v>25.06</v>
      </c>
      <c r="M13" s="8">
        <v>15.37</v>
      </c>
      <c r="N13" s="8">
        <v>10.05</v>
      </c>
      <c r="O13" s="8">
        <v>9.37</v>
      </c>
      <c r="P13" s="9">
        <v>0</v>
      </c>
    </row>
    <row r="14" spans="1:16" ht="12.75">
      <c r="A14" s="1">
        <f t="shared" si="0"/>
        <v>8</v>
      </c>
      <c r="B14" s="4" t="s">
        <v>474</v>
      </c>
      <c r="C14" s="8">
        <v>41.25</v>
      </c>
      <c r="D14" s="8">
        <v>36.17</v>
      </c>
      <c r="E14" s="8">
        <v>22.77</v>
      </c>
      <c r="F14" s="8">
        <v>15.04</v>
      </c>
      <c r="G14" s="8">
        <v>14.36</v>
      </c>
      <c r="H14" s="8">
        <v>24.83</v>
      </c>
      <c r="I14" s="8">
        <v>21.66</v>
      </c>
      <c r="J14" s="8">
        <v>20.98</v>
      </c>
      <c r="K14" s="8">
        <v>19.99</v>
      </c>
      <c r="L14" s="8">
        <v>23.66</v>
      </c>
      <c r="M14" s="8">
        <v>15.94</v>
      </c>
      <c r="N14" s="8">
        <v>10.62</v>
      </c>
      <c r="O14" s="8">
        <v>9.94</v>
      </c>
      <c r="P14" s="9">
        <v>0</v>
      </c>
    </row>
    <row r="15" spans="1:16" ht="12.75">
      <c r="A15" s="1">
        <f t="shared" si="0"/>
        <v>9</v>
      </c>
      <c r="B15" s="4" t="s">
        <v>475</v>
      </c>
      <c r="C15" s="8">
        <v>39.82</v>
      </c>
      <c r="D15" s="8">
        <v>34.86</v>
      </c>
      <c r="E15" s="8">
        <v>22.12</v>
      </c>
      <c r="F15" s="8">
        <v>14.38</v>
      </c>
      <c r="G15" s="8">
        <v>13.7</v>
      </c>
      <c r="H15" s="8">
        <v>24.17</v>
      </c>
      <c r="I15" s="8">
        <v>21</v>
      </c>
      <c r="J15" s="8">
        <v>20.32</v>
      </c>
      <c r="K15" s="8">
        <v>19.37</v>
      </c>
      <c r="L15" s="8">
        <v>23.04</v>
      </c>
      <c r="M15" s="8">
        <v>15.84</v>
      </c>
      <c r="N15" s="8">
        <v>10.51</v>
      </c>
      <c r="O15" s="8">
        <v>9.83</v>
      </c>
      <c r="P15" s="9">
        <v>0</v>
      </c>
    </row>
    <row r="16" spans="1:16" ht="12.75">
      <c r="A16" s="1">
        <f t="shared" si="0"/>
        <v>10</v>
      </c>
      <c r="B16" s="4" t="s">
        <v>476</v>
      </c>
      <c r="C16" s="8">
        <v>39.93</v>
      </c>
      <c r="D16" s="8">
        <v>35.02</v>
      </c>
      <c r="E16" s="8">
        <v>21.69</v>
      </c>
      <c r="F16" s="8">
        <v>13.96</v>
      </c>
      <c r="G16" s="8">
        <v>13.28</v>
      </c>
      <c r="H16" s="8">
        <v>23.77</v>
      </c>
      <c r="I16" s="8">
        <v>20.6</v>
      </c>
      <c r="J16" s="8">
        <v>19.92</v>
      </c>
      <c r="K16" s="8">
        <v>19.21</v>
      </c>
      <c r="L16" s="8">
        <v>22.88</v>
      </c>
      <c r="M16" s="8">
        <v>15.64</v>
      </c>
      <c r="N16" s="8">
        <v>10.31</v>
      </c>
      <c r="O16" s="8">
        <v>9.63</v>
      </c>
      <c r="P16" s="9">
        <v>0</v>
      </c>
    </row>
    <row r="17" spans="1:16" ht="12.75">
      <c r="A17" s="1">
        <f t="shared" si="0"/>
        <v>11</v>
      </c>
      <c r="B17" s="4" t="s">
        <v>477</v>
      </c>
      <c r="C17" s="8">
        <v>40.08</v>
      </c>
      <c r="D17" s="8">
        <v>34.61</v>
      </c>
      <c r="E17" s="8">
        <v>21.74</v>
      </c>
      <c r="F17" s="8">
        <v>14.02</v>
      </c>
      <c r="G17" s="8">
        <v>13.34</v>
      </c>
      <c r="H17" s="8">
        <v>23.83</v>
      </c>
      <c r="I17" s="8">
        <v>20.67</v>
      </c>
      <c r="J17" s="8">
        <v>19.99</v>
      </c>
      <c r="K17" s="8">
        <v>19.72</v>
      </c>
      <c r="L17" s="8">
        <v>23.39</v>
      </c>
      <c r="M17" s="8">
        <v>16.02</v>
      </c>
      <c r="N17" s="8">
        <v>10.7</v>
      </c>
      <c r="O17" s="8">
        <v>10.02</v>
      </c>
      <c r="P17" s="9">
        <v>0</v>
      </c>
    </row>
    <row r="18" spans="1:16" ht="12.75">
      <c r="A18" s="1">
        <f t="shared" si="0"/>
        <v>12</v>
      </c>
      <c r="B18" s="4" t="s">
        <v>478</v>
      </c>
      <c r="C18" s="8">
        <v>40.65</v>
      </c>
      <c r="D18" s="8">
        <v>34.58</v>
      </c>
      <c r="E18" s="8">
        <v>21.76</v>
      </c>
      <c r="F18" s="8">
        <v>14.02</v>
      </c>
      <c r="G18" s="8">
        <v>13.34</v>
      </c>
      <c r="H18" s="8">
        <v>23.83</v>
      </c>
      <c r="I18" s="8">
        <v>20.67</v>
      </c>
      <c r="J18" s="8">
        <v>19.99</v>
      </c>
      <c r="K18" s="8">
        <v>19.15</v>
      </c>
      <c r="L18" s="8">
        <v>22.82</v>
      </c>
      <c r="M18" s="8">
        <v>15.87</v>
      </c>
      <c r="N18" s="8">
        <v>10.54</v>
      </c>
      <c r="O18" s="8">
        <v>9.86</v>
      </c>
      <c r="P18" s="9">
        <v>0</v>
      </c>
    </row>
    <row r="19" spans="1:16" ht="12.75">
      <c r="A19" s="1">
        <f t="shared" si="0"/>
        <v>13</v>
      </c>
      <c r="B19" s="4" t="s">
        <v>479</v>
      </c>
      <c r="C19" s="8">
        <v>40.62</v>
      </c>
      <c r="D19" s="8">
        <v>34.19</v>
      </c>
      <c r="E19" s="8">
        <v>20.86</v>
      </c>
      <c r="F19" s="8">
        <v>13.13</v>
      </c>
      <c r="G19" s="8">
        <v>12.38</v>
      </c>
      <c r="H19" s="8">
        <v>22.94</v>
      </c>
      <c r="I19" s="8">
        <v>19.78</v>
      </c>
      <c r="J19" s="8">
        <v>19.03</v>
      </c>
      <c r="K19" s="8">
        <v>18.36</v>
      </c>
      <c r="L19" s="8">
        <v>22.03</v>
      </c>
      <c r="M19" s="8">
        <v>14.22</v>
      </c>
      <c r="N19" s="8">
        <v>8.89</v>
      </c>
      <c r="O19" s="8">
        <v>8.14</v>
      </c>
      <c r="P19" s="9">
        <v>0</v>
      </c>
    </row>
    <row r="20" spans="1:16" ht="12.75">
      <c r="A20" s="1">
        <f t="shared" si="0"/>
        <v>14</v>
      </c>
      <c r="B20" s="4" t="s">
        <v>480</v>
      </c>
      <c r="C20" s="8">
        <v>41.61</v>
      </c>
      <c r="D20" s="8">
        <v>36.01</v>
      </c>
      <c r="E20" s="8">
        <v>22</v>
      </c>
      <c r="F20" s="8">
        <v>14.56</v>
      </c>
      <c r="G20" s="8">
        <v>13.81</v>
      </c>
      <c r="H20" s="8">
        <v>24.38</v>
      </c>
      <c r="I20" s="8">
        <v>21.22</v>
      </c>
      <c r="J20" s="8">
        <v>20.47</v>
      </c>
      <c r="K20" s="8">
        <v>19.42</v>
      </c>
      <c r="L20" s="8">
        <v>23.09</v>
      </c>
      <c r="M20" s="8">
        <v>14.26</v>
      </c>
      <c r="N20" s="8">
        <v>8.94</v>
      </c>
      <c r="O20" s="8">
        <v>8.19</v>
      </c>
      <c r="P20" s="9">
        <v>0</v>
      </c>
    </row>
    <row r="21" spans="1:16" ht="12.75">
      <c r="A21" s="1">
        <f t="shared" si="0"/>
        <v>15</v>
      </c>
      <c r="B21" s="4" t="s">
        <v>481</v>
      </c>
      <c r="C21" s="8">
        <v>42.25</v>
      </c>
      <c r="D21" s="8">
        <v>36.53</v>
      </c>
      <c r="E21" s="8">
        <v>21.44</v>
      </c>
      <c r="F21" s="8">
        <v>13.71</v>
      </c>
      <c r="G21" s="8">
        <v>12.96</v>
      </c>
      <c r="H21" s="8">
        <v>23.52</v>
      </c>
      <c r="I21" s="8">
        <v>20.36</v>
      </c>
      <c r="J21" s="8">
        <v>19.61</v>
      </c>
      <c r="K21" s="8">
        <v>18.5</v>
      </c>
      <c r="L21" s="8">
        <v>22.17</v>
      </c>
      <c r="M21" s="8">
        <v>13.53</v>
      </c>
      <c r="N21" s="8">
        <v>8.21</v>
      </c>
      <c r="O21" s="8">
        <v>7.46</v>
      </c>
      <c r="P21" s="9">
        <v>0</v>
      </c>
    </row>
    <row r="22" spans="1:16" ht="12.75">
      <c r="A22" s="1">
        <f t="shared" si="0"/>
        <v>16</v>
      </c>
      <c r="B22" s="4" t="s">
        <v>482</v>
      </c>
      <c r="C22" s="8">
        <v>43.82</v>
      </c>
      <c r="D22" s="8">
        <v>38.56</v>
      </c>
      <c r="E22" s="8">
        <v>23.14</v>
      </c>
      <c r="F22" s="8">
        <v>15.41</v>
      </c>
      <c r="G22" s="8">
        <v>14.66</v>
      </c>
      <c r="H22" s="8">
        <v>25.42</v>
      </c>
      <c r="I22" s="8">
        <v>22.26</v>
      </c>
      <c r="J22" s="8">
        <v>21.51</v>
      </c>
      <c r="K22" s="8">
        <v>20.11</v>
      </c>
      <c r="L22" s="8">
        <v>23.78</v>
      </c>
      <c r="M22" s="8">
        <v>13.01</v>
      </c>
      <c r="N22" s="8">
        <v>7.68</v>
      </c>
      <c r="O22" s="8">
        <v>6.93</v>
      </c>
      <c r="P22" s="9">
        <v>0</v>
      </c>
    </row>
    <row r="23" spans="1:16" ht="12.75">
      <c r="A23" s="1">
        <f t="shared" si="0"/>
        <v>17</v>
      </c>
      <c r="B23" s="4" t="s">
        <v>483</v>
      </c>
      <c r="C23" s="8">
        <v>43.82</v>
      </c>
      <c r="D23" s="8">
        <v>38.16</v>
      </c>
      <c r="E23" s="8">
        <v>22.75</v>
      </c>
      <c r="F23" s="8">
        <v>15.01</v>
      </c>
      <c r="G23" s="8">
        <v>14.26</v>
      </c>
      <c r="H23" s="8">
        <v>25</v>
      </c>
      <c r="I23" s="8">
        <v>21.84</v>
      </c>
      <c r="J23" s="8">
        <v>21.09</v>
      </c>
      <c r="K23" s="8">
        <v>19.89</v>
      </c>
      <c r="L23" s="8">
        <v>23.56</v>
      </c>
      <c r="M23" s="8">
        <v>13.31</v>
      </c>
      <c r="N23" s="8">
        <v>7.98</v>
      </c>
      <c r="O23" s="8">
        <v>7.23</v>
      </c>
      <c r="P23" s="9">
        <v>0</v>
      </c>
    </row>
    <row r="24" spans="1:16" ht="12.75">
      <c r="A24" s="1">
        <f t="shared" si="0"/>
        <v>18</v>
      </c>
      <c r="B24" s="4" t="s">
        <v>484</v>
      </c>
      <c r="C24" s="8">
        <v>43.08</v>
      </c>
      <c r="D24" s="8">
        <v>37.38</v>
      </c>
      <c r="E24" s="8">
        <v>22.42</v>
      </c>
      <c r="F24" s="8">
        <v>14.69</v>
      </c>
      <c r="G24" s="8">
        <v>13.94</v>
      </c>
      <c r="H24" s="8">
        <v>24.68</v>
      </c>
      <c r="I24" s="8">
        <v>21.51</v>
      </c>
      <c r="J24" s="8">
        <v>20.76</v>
      </c>
      <c r="K24" s="8">
        <v>19.56</v>
      </c>
      <c r="L24" s="8">
        <v>23.23</v>
      </c>
      <c r="M24" s="8">
        <v>13.53</v>
      </c>
      <c r="N24" s="8">
        <v>8.2</v>
      </c>
      <c r="O24" s="8">
        <v>7.45</v>
      </c>
      <c r="P24" s="9">
        <v>0</v>
      </c>
    </row>
    <row r="25" spans="1:16" ht="12.75">
      <c r="A25" s="1">
        <f t="shared" si="0"/>
        <v>19</v>
      </c>
      <c r="B25" s="4" t="s">
        <v>485</v>
      </c>
      <c r="C25" s="8">
        <v>43.3</v>
      </c>
      <c r="D25" s="8">
        <v>37.74</v>
      </c>
      <c r="E25" s="8">
        <v>22.1</v>
      </c>
      <c r="F25" s="8">
        <v>14.37</v>
      </c>
      <c r="G25" s="8">
        <v>13.62</v>
      </c>
      <c r="H25" s="8">
        <v>24.19</v>
      </c>
      <c r="I25" s="8">
        <v>21.03</v>
      </c>
      <c r="J25" s="8">
        <v>20.28</v>
      </c>
      <c r="K25" s="8">
        <v>19.99</v>
      </c>
      <c r="L25" s="8">
        <v>23.66</v>
      </c>
      <c r="M25" s="8">
        <v>14.06</v>
      </c>
      <c r="N25" s="8">
        <v>8.74</v>
      </c>
      <c r="O25" s="8">
        <v>7.99</v>
      </c>
      <c r="P25" s="9">
        <v>0</v>
      </c>
    </row>
    <row r="26" spans="1:16" ht="12.75">
      <c r="A26" s="1">
        <f t="shared" si="0"/>
        <v>20</v>
      </c>
      <c r="B26" s="4" t="s">
        <v>486</v>
      </c>
      <c r="C26" s="8">
        <v>43.44</v>
      </c>
      <c r="D26" s="8">
        <v>37.94</v>
      </c>
      <c r="E26" s="8">
        <v>22.58</v>
      </c>
      <c r="F26" s="8">
        <v>14.85</v>
      </c>
      <c r="G26" s="8">
        <v>14.1</v>
      </c>
      <c r="H26" s="8">
        <v>24.67</v>
      </c>
      <c r="I26" s="8">
        <v>21.51</v>
      </c>
      <c r="J26" s="8">
        <v>20.76</v>
      </c>
      <c r="K26" s="8">
        <v>20.71</v>
      </c>
      <c r="L26" s="8">
        <v>24.38</v>
      </c>
      <c r="M26" s="8">
        <v>14.58</v>
      </c>
      <c r="N26" s="8">
        <v>9.26</v>
      </c>
      <c r="O26" s="8">
        <v>8.51</v>
      </c>
      <c r="P26" s="9">
        <v>0</v>
      </c>
    </row>
    <row r="27" spans="1:16" ht="12.75">
      <c r="A27" s="1">
        <f t="shared" si="0"/>
        <v>21</v>
      </c>
      <c r="B27" s="4" t="s">
        <v>487</v>
      </c>
      <c r="C27" s="8">
        <v>41.54</v>
      </c>
      <c r="D27" s="8">
        <v>36.1</v>
      </c>
      <c r="E27" s="8">
        <v>22.65</v>
      </c>
      <c r="F27" s="8">
        <v>14.92</v>
      </c>
      <c r="G27" s="8">
        <v>14.17</v>
      </c>
      <c r="H27" s="8">
        <v>24.74</v>
      </c>
      <c r="I27" s="8">
        <v>21.57</v>
      </c>
      <c r="J27" s="8">
        <v>20.82</v>
      </c>
      <c r="K27" s="8">
        <v>19.9</v>
      </c>
      <c r="L27" s="8">
        <v>23.57</v>
      </c>
      <c r="M27" s="8">
        <v>13.9</v>
      </c>
      <c r="N27" s="8">
        <v>8.58</v>
      </c>
      <c r="O27" s="8">
        <v>7.83</v>
      </c>
      <c r="P27" s="9">
        <v>0</v>
      </c>
    </row>
    <row r="28" spans="1:16" ht="12.75">
      <c r="A28" s="1">
        <f t="shared" si="0"/>
        <v>22</v>
      </c>
      <c r="B28" s="4" t="s">
        <v>488</v>
      </c>
      <c r="C28" s="8">
        <v>43.67</v>
      </c>
      <c r="D28" s="8">
        <v>38.12</v>
      </c>
      <c r="E28" s="8">
        <v>23.31</v>
      </c>
      <c r="F28" s="8">
        <v>15.57</v>
      </c>
      <c r="G28" s="8">
        <v>14.82</v>
      </c>
      <c r="H28" s="8">
        <v>25.39</v>
      </c>
      <c r="I28" s="8">
        <v>22.23</v>
      </c>
      <c r="J28" s="8">
        <v>21.48</v>
      </c>
      <c r="K28" s="8">
        <v>20.82</v>
      </c>
      <c r="L28" s="8">
        <v>24.49</v>
      </c>
      <c r="M28" s="8">
        <v>14.68</v>
      </c>
      <c r="N28" s="8">
        <v>9.36</v>
      </c>
      <c r="O28" s="8">
        <v>8.61</v>
      </c>
      <c r="P28" s="9">
        <v>0</v>
      </c>
    </row>
    <row r="29" spans="1:16" ht="12.75">
      <c r="A29" s="1">
        <f t="shared" si="0"/>
        <v>23</v>
      </c>
      <c r="B29" s="4" t="s">
        <v>489</v>
      </c>
      <c r="C29" s="8">
        <v>41.45</v>
      </c>
      <c r="D29" s="8">
        <v>36.01</v>
      </c>
      <c r="E29" s="8">
        <v>22.69</v>
      </c>
      <c r="F29" s="8">
        <v>14.96</v>
      </c>
      <c r="G29" s="8">
        <v>14.21</v>
      </c>
      <c r="H29" s="8">
        <v>24.78</v>
      </c>
      <c r="I29" s="8">
        <v>21.62</v>
      </c>
      <c r="J29" s="8">
        <v>20.87</v>
      </c>
      <c r="K29" s="8">
        <v>19.92</v>
      </c>
      <c r="L29" s="8">
        <v>23.59</v>
      </c>
      <c r="M29" s="8">
        <v>14.6</v>
      </c>
      <c r="N29" s="8">
        <v>9.28</v>
      </c>
      <c r="O29" s="8">
        <v>8.53</v>
      </c>
      <c r="P29" s="9">
        <v>0</v>
      </c>
    </row>
    <row r="30" spans="1:16" ht="12.75">
      <c r="A30" s="1">
        <f t="shared" si="0"/>
        <v>24</v>
      </c>
      <c r="B30" s="4" t="s">
        <v>490</v>
      </c>
      <c r="C30" s="8">
        <v>39.38</v>
      </c>
      <c r="D30" s="8">
        <v>34.17</v>
      </c>
      <c r="E30" s="8">
        <v>22.59</v>
      </c>
      <c r="F30" s="8">
        <v>14.86</v>
      </c>
      <c r="G30" s="8">
        <v>14.11</v>
      </c>
      <c r="H30" s="8">
        <v>24.69</v>
      </c>
      <c r="I30" s="8">
        <v>21.53</v>
      </c>
      <c r="J30" s="8">
        <v>20.78</v>
      </c>
      <c r="K30" s="8">
        <v>19.64</v>
      </c>
      <c r="L30" s="8">
        <v>23.31</v>
      </c>
      <c r="M30" s="8">
        <v>14.27</v>
      </c>
      <c r="N30" s="8">
        <v>8.95</v>
      </c>
      <c r="O30" s="8">
        <v>8.2</v>
      </c>
      <c r="P30" s="9">
        <v>0</v>
      </c>
    </row>
    <row r="31" spans="1:16" ht="12.75">
      <c r="A31" s="1">
        <f t="shared" si="0"/>
        <v>25</v>
      </c>
      <c r="B31" s="4" t="s">
        <v>491</v>
      </c>
      <c r="C31" s="8">
        <v>39.66</v>
      </c>
      <c r="D31" s="8">
        <v>34.71</v>
      </c>
      <c r="E31" s="8">
        <v>23.56</v>
      </c>
      <c r="F31" s="8">
        <v>15.82</v>
      </c>
      <c r="G31" s="8">
        <v>15.07</v>
      </c>
      <c r="H31" s="8">
        <v>25.66</v>
      </c>
      <c r="I31" s="8">
        <v>22.49</v>
      </c>
      <c r="J31" s="8">
        <v>21.74</v>
      </c>
      <c r="K31" s="8">
        <v>20.17</v>
      </c>
      <c r="L31" s="8">
        <v>23.84</v>
      </c>
      <c r="M31" s="8">
        <v>14.85</v>
      </c>
      <c r="N31" s="8">
        <v>9.53</v>
      </c>
      <c r="O31" s="8">
        <v>8.78</v>
      </c>
      <c r="P31" s="9">
        <v>0</v>
      </c>
    </row>
    <row r="32" spans="1:16" ht="12.75">
      <c r="A32" s="1">
        <f t="shared" si="0"/>
        <v>26</v>
      </c>
      <c r="B32" s="4" t="s">
        <v>492</v>
      </c>
      <c r="C32" s="8">
        <v>38.02</v>
      </c>
      <c r="D32" s="8">
        <v>33.11</v>
      </c>
      <c r="E32" s="8">
        <v>22.18</v>
      </c>
      <c r="F32" s="8">
        <v>14.44</v>
      </c>
      <c r="G32" s="8">
        <v>13.69</v>
      </c>
      <c r="H32" s="8">
        <v>24.28</v>
      </c>
      <c r="I32" s="8">
        <v>21.11</v>
      </c>
      <c r="J32" s="8">
        <v>20.36</v>
      </c>
      <c r="K32" s="8">
        <v>19.1</v>
      </c>
      <c r="L32" s="8">
        <v>22.77</v>
      </c>
      <c r="M32" s="8">
        <v>15</v>
      </c>
      <c r="N32" s="8">
        <v>9.68</v>
      </c>
      <c r="O32" s="8">
        <v>8.93</v>
      </c>
      <c r="P32" s="9">
        <v>0</v>
      </c>
    </row>
    <row r="33" spans="1:16" ht="12.75">
      <c r="A33" s="1">
        <f t="shared" si="0"/>
        <v>27</v>
      </c>
      <c r="B33" s="4" t="s">
        <v>493</v>
      </c>
      <c r="C33" s="8">
        <v>36.58</v>
      </c>
      <c r="D33" s="8">
        <v>31.75</v>
      </c>
      <c r="E33" s="8">
        <v>21.34</v>
      </c>
      <c r="F33" s="8">
        <v>13.61</v>
      </c>
      <c r="G33" s="8">
        <v>12.86</v>
      </c>
      <c r="H33" s="8">
        <v>23.42</v>
      </c>
      <c r="I33" s="8">
        <v>20.26</v>
      </c>
      <c r="J33" s="8">
        <v>19.51</v>
      </c>
      <c r="K33" s="8">
        <v>18.51</v>
      </c>
      <c r="L33" s="8">
        <v>22.18</v>
      </c>
      <c r="M33" s="8">
        <v>14.83</v>
      </c>
      <c r="N33" s="8">
        <v>9.51</v>
      </c>
      <c r="O33" s="8">
        <v>8.76</v>
      </c>
      <c r="P33" s="9">
        <v>0</v>
      </c>
    </row>
    <row r="34" spans="1:16" ht="12.75">
      <c r="A34" s="1">
        <f t="shared" si="0"/>
        <v>28</v>
      </c>
      <c r="B34" s="4" t="s">
        <v>494</v>
      </c>
      <c r="C34" s="8">
        <v>36.82</v>
      </c>
      <c r="D34" s="8">
        <v>31.92</v>
      </c>
      <c r="E34" s="8">
        <v>21.69</v>
      </c>
      <c r="F34" s="8">
        <v>13.96</v>
      </c>
      <c r="G34" s="8">
        <v>13.21</v>
      </c>
      <c r="H34" s="8">
        <v>23.77</v>
      </c>
      <c r="I34" s="8">
        <v>20.61</v>
      </c>
      <c r="J34" s="8">
        <v>19.86</v>
      </c>
      <c r="K34" s="8">
        <v>18.73</v>
      </c>
      <c r="L34" s="8">
        <v>22.4</v>
      </c>
      <c r="M34" s="8">
        <v>14.94</v>
      </c>
      <c r="N34" s="8">
        <v>9.61</v>
      </c>
      <c r="O34" s="8">
        <v>8.86</v>
      </c>
      <c r="P34" s="9">
        <v>0</v>
      </c>
    </row>
    <row r="35" spans="1:16" ht="12.75">
      <c r="A35" s="1">
        <f t="shared" si="0"/>
        <v>29</v>
      </c>
      <c r="B35" s="4" t="s">
        <v>495</v>
      </c>
      <c r="C35" s="8">
        <v>37.45</v>
      </c>
      <c r="D35" s="8">
        <v>32.49</v>
      </c>
      <c r="E35" s="8">
        <v>21.45</v>
      </c>
      <c r="F35" s="8">
        <v>13.72</v>
      </c>
      <c r="G35" s="8">
        <v>12.97</v>
      </c>
      <c r="H35" s="8">
        <v>23.53</v>
      </c>
      <c r="I35" s="8">
        <v>20.37</v>
      </c>
      <c r="J35" s="8">
        <v>19.62</v>
      </c>
      <c r="K35" s="8">
        <v>18.37</v>
      </c>
      <c r="L35" s="8">
        <v>22.04</v>
      </c>
      <c r="M35" s="8">
        <v>14.89</v>
      </c>
      <c r="N35" s="8">
        <v>9.56</v>
      </c>
      <c r="O35" s="8">
        <v>8.81</v>
      </c>
      <c r="P35" s="9">
        <v>0</v>
      </c>
    </row>
    <row r="36" spans="1:16" ht="12.75">
      <c r="A36" s="1">
        <f t="shared" si="0"/>
        <v>30</v>
      </c>
      <c r="B36" s="4" t="s">
        <v>496</v>
      </c>
      <c r="C36" s="8">
        <v>38.56</v>
      </c>
      <c r="D36" s="8">
        <v>33.15</v>
      </c>
      <c r="E36" s="8">
        <v>20.88</v>
      </c>
      <c r="F36" s="8">
        <v>13.15</v>
      </c>
      <c r="G36" s="8">
        <v>12.4</v>
      </c>
      <c r="H36" s="8">
        <v>22.96</v>
      </c>
      <c r="I36" s="8">
        <v>19.8</v>
      </c>
      <c r="J36" s="8">
        <v>19.05</v>
      </c>
      <c r="K36" s="8">
        <v>17.85</v>
      </c>
      <c r="L36" s="8">
        <v>21.52</v>
      </c>
      <c r="M36" s="8">
        <v>14.52</v>
      </c>
      <c r="N36" s="8">
        <v>9.2</v>
      </c>
      <c r="O36" s="8">
        <v>8.45</v>
      </c>
      <c r="P36" s="9">
        <v>0</v>
      </c>
    </row>
    <row r="37" spans="1:16" ht="12.75">
      <c r="A37" s="1">
        <f t="shared" si="0"/>
        <v>31</v>
      </c>
      <c r="B37" s="4" t="s">
        <v>497</v>
      </c>
      <c r="C37" s="8">
        <v>38.86</v>
      </c>
      <c r="D37" s="8">
        <v>33.59</v>
      </c>
      <c r="E37" s="8">
        <v>21.58</v>
      </c>
      <c r="F37" s="8">
        <v>13.85</v>
      </c>
      <c r="G37" s="8">
        <v>13.1</v>
      </c>
      <c r="H37" s="8">
        <v>23.66</v>
      </c>
      <c r="I37" s="8">
        <v>20.5</v>
      </c>
      <c r="J37" s="8">
        <v>19.75</v>
      </c>
      <c r="K37" s="8">
        <v>18.55</v>
      </c>
      <c r="L37" s="8">
        <v>22.22</v>
      </c>
      <c r="M37" s="8">
        <v>14.52</v>
      </c>
      <c r="N37" s="8">
        <v>9.2</v>
      </c>
      <c r="O37" s="8">
        <v>8.45</v>
      </c>
      <c r="P37" s="9">
        <v>0</v>
      </c>
    </row>
    <row r="38" spans="1:16" ht="12.75">
      <c r="A38" s="1">
        <f t="shared" si="0"/>
        <v>32</v>
      </c>
      <c r="B38" s="4" t="s">
        <v>498</v>
      </c>
      <c r="C38" s="8">
        <v>38.38</v>
      </c>
      <c r="D38" s="8">
        <v>33.37</v>
      </c>
      <c r="E38" s="8">
        <v>21.44</v>
      </c>
      <c r="F38" s="8">
        <v>13.71</v>
      </c>
      <c r="G38" s="8">
        <v>12.96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</row>
    <row r="39" spans="1:16" ht="12.75">
      <c r="A39" s="1">
        <f t="shared" si="0"/>
        <v>33</v>
      </c>
      <c r="B39" s="4" t="s">
        <v>499</v>
      </c>
      <c r="C39" s="8">
        <v>39.24</v>
      </c>
      <c r="D39" s="8">
        <v>34.18</v>
      </c>
      <c r="E39" s="8">
        <v>21.88</v>
      </c>
      <c r="F39" s="8">
        <v>14.15</v>
      </c>
      <c r="G39" s="8">
        <v>13.4</v>
      </c>
      <c r="H39" s="8">
        <v>23.96</v>
      </c>
      <c r="I39" s="8">
        <v>20.8</v>
      </c>
      <c r="J39" s="8">
        <v>20.05</v>
      </c>
      <c r="K39" s="8">
        <v>19.15</v>
      </c>
      <c r="L39" s="8">
        <v>22.82</v>
      </c>
      <c r="M39" s="8">
        <v>14.45</v>
      </c>
      <c r="N39" s="8">
        <v>9.12</v>
      </c>
      <c r="O39" s="8">
        <v>8.37</v>
      </c>
      <c r="P39" s="9">
        <v>0</v>
      </c>
    </row>
    <row r="40" spans="1:16" ht="12.75">
      <c r="A40" s="1">
        <f t="shared" si="0"/>
        <v>34</v>
      </c>
      <c r="B40" s="4" t="s">
        <v>500</v>
      </c>
      <c r="C40" s="8">
        <v>39.6</v>
      </c>
      <c r="D40" s="8">
        <v>34.62</v>
      </c>
      <c r="E40" s="8">
        <v>22.14</v>
      </c>
      <c r="F40" s="8">
        <v>14.41</v>
      </c>
      <c r="G40" s="8">
        <v>13.66</v>
      </c>
      <c r="H40" s="8">
        <v>24.23</v>
      </c>
      <c r="I40" s="8">
        <v>21.06</v>
      </c>
      <c r="J40" s="8">
        <v>20.31</v>
      </c>
      <c r="K40" s="8">
        <v>19.43</v>
      </c>
      <c r="L40" s="8">
        <v>23.1</v>
      </c>
      <c r="M40" s="8">
        <v>14.71</v>
      </c>
      <c r="N40" s="8">
        <v>9.38</v>
      </c>
      <c r="O40" s="8">
        <v>8.63</v>
      </c>
      <c r="P40" s="9">
        <v>0</v>
      </c>
    </row>
    <row r="41" spans="1:16" ht="12.75">
      <c r="A41" s="1">
        <f t="shared" si="0"/>
        <v>35</v>
      </c>
      <c r="B41" s="4" t="s">
        <v>501</v>
      </c>
      <c r="C41" s="8">
        <v>40.06</v>
      </c>
      <c r="D41" s="8">
        <v>34.92</v>
      </c>
      <c r="E41" s="8">
        <v>21.9</v>
      </c>
      <c r="F41" s="8">
        <v>14.17</v>
      </c>
      <c r="G41" s="8">
        <v>13.42</v>
      </c>
      <c r="H41" s="8">
        <v>23.99</v>
      </c>
      <c r="I41" s="8">
        <v>20.82</v>
      </c>
      <c r="J41" s="8">
        <v>20.07</v>
      </c>
      <c r="K41" s="8">
        <v>19.28</v>
      </c>
      <c r="L41" s="8">
        <v>22.95</v>
      </c>
      <c r="M41" s="8">
        <v>14.83</v>
      </c>
      <c r="N41" s="8">
        <v>9.51</v>
      </c>
      <c r="O41" s="8">
        <v>8.76</v>
      </c>
      <c r="P41" s="9">
        <v>0</v>
      </c>
    </row>
    <row r="42" spans="1:16" ht="12.75">
      <c r="A42" s="1">
        <f t="shared" si="0"/>
        <v>36</v>
      </c>
      <c r="B42" s="4" t="s">
        <v>502</v>
      </c>
      <c r="C42" s="8">
        <v>41.5</v>
      </c>
      <c r="D42" s="8">
        <v>36.02</v>
      </c>
      <c r="E42" s="8">
        <v>22.71</v>
      </c>
      <c r="F42" s="8">
        <v>14.98</v>
      </c>
      <c r="G42" s="8">
        <v>14.23</v>
      </c>
      <c r="H42" s="8">
        <v>24.79</v>
      </c>
      <c r="I42" s="8">
        <v>21.63</v>
      </c>
      <c r="J42" s="8">
        <v>20.88</v>
      </c>
      <c r="K42" s="8">
        <v>19.8</v>
      </c>
      <c r="L42" s="8">
        <v>23.47</v>
      </c>
      <c r="M42" s="8">
        <v>15.5</v>
      </c>
      <c r="N42" s="8">
        <v>10.18</v>
      </c>
      <c r="O42" s="8">
        <v>9.43</v>
      </c>
      <c r="P42" s="9">
        <v>0</v>
      </c>
    </row>
    <row r="43" spans="1:16" ht="12.75">
      <c r="A43" s="1">
        <f t="shared" si="0"/>
        <v>37</v>
      </c>
      <c r="B43" s="4" t="s">
        <v>503</v>
      </c>
      <c r="C43" s="8">
        <v>41.1</v>
      </c>
      <c r="D43" s="8">
        <v>35.82</v>
      </c>
      <c r="E43" s="8">
        <v>22.6</v>
      </c>
      <c r="F43" s="8">
        <v>14.87</v>
      </c>
      <c r="G43" s="8">
        <v>14.12</v>
      </c>
      <c r="H43" s="8">
        <v>24.68</v>
      </c>
      <c r="I43" s="8">
        <v>21.52</v>
      </c>
      <c r="J43" s="8">
        <v>20.77</v>
      </c>
      <c r="K43" s="8">
        <v>19.76</v>
      </c>
      <c r="L43" s="8">
        <v>23.43</v>
      </c>
      <c r="M43" s="8">
        <v>16.18</v>
      </c>
      <c r="N43" s="8">
        <v>10.85</v>
      </c>
      <c r="O43" s="8">
        <v>10.1</v>
      </c>
      <c r="P43" s="9">
        <v>0</v>
      </c>
    </row>
    <row r="44" spans="1:16" ht="12.75">
      <c r="A44" s="1">
        <f t="shared" si="0"/>
        <v>38</v>
      </c>
      <c r="B44" s="4" t="s">
        <v>504</v>
      </c>
      <c r="C44" s="8">
        <v>41.52</v>
      </c>
      <c r="D44" s="8">
        <v>36.35</v>
      </c>
      <c r="E44" s="8">
        <v>23.04</v>
      </c>
      <c r="F44" s="8">
        <v>15.31</v>
      </c>
      <c r="G44" s="8">
        <v>14.56</v>
      </c>
      <c r="H44" s="8">
        <v>25.12</v>
      </c>
      <c r="I44" s="8">
        <v>21.96</v>
      </c>
      <c r="J44" s="8">
        <v>21.21</v>
      </c>
      <c r="K44" s="8">
        <v>20.18</v>
      </c>
      <c r="L44" s="8">
        <v>23.85</v>
      </c>
      <c r="M44" s="8">
        <v>16.33</v>
      </c>
      <c r="N44" s="8">
        <v>11.01</v>
      </c>
      <c r="O44" s="8">
        <v>10.26</v>
      </c>
      <c r="P44" s="9">
        <v>0</v>
      </c>
    </row>
    <row r="45" spans="1:16" ht="12.75">
      <c r="A45" s="1">
        <f t="shared" si="0"/>
        <v>39</v>
      </c>
      <c r="B45" s="4" t="s">
        <v>505</v>
      </c>
      <c r="C45" s="8">
        <v>38.44</v>
      </c>
      <c r="D45" s="8">
        <v>33.55</v>
      </c>
      <c r="E45" s="8">
        <v>21.2</v>
      </c>
      <c r="F45" s="8">
        <v>13.47</v>
      </c>
      <c r="G45" s="8">
        <v>12.72</v>
      </c>
      <c r="H45" s="8">
        <v>23.28</v>
      </c>
      <c r="I45" s="8">
        <v>20.12</v>
      </c>
      <c r="J45" s="8">
        <v>19.37</v>
      </c>
      <c r="K45" s="8">
        <v>17.9</v>
      </c>
      <c r="L45" s="8">
        <v>21.57</v>
      </c>
      <c r="M45" s="8">
        <v>15.86</v>
      </c>
      <c r="N45" s="8">
        <v>10.54</v>
      </c>
      <c r="O45" s="8">
        <v>9.79</v>
      </c>
      <c r="P45" s="9">
        <v>0</v>
      </c>
    </row>
    <row r="46" spans="1:16" ht="12.75">
      <c r="A46" s="1">
        <f t="shared" si="0"/>
        <v>40</v>
      </c>
      <c r="B46" s="4" t="s">
        <v>506</v>
      </c>
      <c r="C46" s="8">
        <v>36.59</v>
      </c>
      <c r="D46" s="8">
        <v>31.42</v>
      </c>
      <c r="E46" s="8">
        <v>20.56</v>
      </c>
      <c r="F46" s="8">
        <v>12.82</v>
      </c>
      <c r="G46" s="8">
        <v>12.07</v>
      </c>
      <c r="H46" s="8">
        <v>22.62</v>
      </c>
      <c r="I46" s="8">
        <v>19.45</v>
      </c>
      <c r="J46" s="8">
        <v>18.7</v>
      </c>
      <c r="K46" s="8">
        <v>17.25</v>
      </c>
      <c r="L46" s="8">
        <v>20.92</v>
      </c>
      <c r="M46" s="8">
        <v>14.56</v>
      </c>
      <c r="N46" s="8">
        <v>9.24</v>
      </c>
      <c r="O46" s="8">
        <v>8.49</v>
      </c>
      <c r="P46" s="9">
        <v>0</v>
      </c>
    </row>
    <row r="47" spans="1:16" ht="12.75">
      <c r="A47" s="1">
        <f t="shared" si="0"/>
        <v>41</v>
      </c>
      <c r="B47" s="4" t="s">
        <v>508</v>
      </c>
      <c r="C47" s="8">
        <v>36.87</v>
      </c>
      <c r="D47" s="8">
        <v>31.72</v>
      </c>
      <c r="E47" s="8">
        <v>20.14</v>
      </c>
      <c r="F47" s="8">
        <v>12.4</v>
      </c>
      <c r="G47" s="8">
        <v>11.65</v>
      </c>
      <c r="H47" s="8">
        <v>22.19</v>
      </c>
      <c r="I47" s="8">
        <v>19.03</v>
      </c>
      <c r="J47" s="8">
        <v>18.28</v>
      </c>
      <c r="K47" s="8">
        <v>16.94</v>
      </c>
      <c r="L47" s="8">
        <v>20.61</v>
      </c>
      <c r="M47" s="8">
        <v>13.92</v>
      </c>
      <c r="N47" s="8">
        <v>8.59</v>
      </c>
      <c r="O47" s="8">
        <v>7.84</v>
      </c>
      <c r="P47" s="9">
        <v>0</v>
      </c>
    </row>
    <row r="48" spans="1:16" ht="12.75">
      <c r="A48" s="1">
        <f t="shared" si="0"/>
        <v>42</v>
      </c>
      <c r="B48" s="4" t="s">
        <v>507</v>
      </c>
      <c r="C48" s="8">
        <v>36.28</v>
      </c>
      <c r="D48" s="8">
        <v>31.35</v>
      </c>
      <c r="E48" s="8">
        <v>20.24</v>
      </c>
      <c r="F48" s="8">
        <v>12.51</v>
      </c>
      <c r="G48" s="8">
        <v>11.76</v>
      </c>
      <c r="H48" s="8">
        <v>22.3</v>
      </c>
      <c r="I48" s="8">
        <v>19.14</v>
      </c>
      <c r="J48" s="8">
        <v>18.39</v>
      </c>
      <c r="K48" s="8">
        <v>16.94</v>
      </c>
      <c r="L48" s="8">
        <v>20.61</v>
      </c>
      <c r="M48" s="8">
        <v>14.49</v>
      </c>
      <c r="N48" s="8">
        <v>9.16</v>
      </c>
      <c r="O48" s="8">
        <v>8.41</v>
      </c>
      <c r="P48" s="9">
        <v>0</v>
      </c>
    </row>
    <row r="49" spans="1:16" ht="12.75">
      <c r="A49" s="1">
        <f t="shared" si="0"/>
        <v>43</v>
      </c>
      <c r="B49" s="4" t="s">
        <v>509</v>
      </c>
      <c r="C49" s="8">
        <v>35.61</v>
      </c>
      <c r="D49" s="8">
        <v>30.65</v>
      </c>
      <c r="E49" s="8">
        <v>19.76</v>
      </c>
      <c r="F49" s="8">
        <v>12.03</v>
      </c>
      <c r="G49" s="8">
        <v>11.28</v>
      </c>
      <c r="H49" s="8">
        <v>21.82</v>
      </c>
      <c r="I49" s="8">
        <v>18.66</v>
      </c>
      <c r="J49" s="8">
        <v>17.91</v>
      </c>
      <c r="K49" s="8">
        <v>16.41</v>
      </c>
      <c r="L49" s="8">
        <v>20.08</v>
      </c>
      <c r="M49" s="8">
        <v>13.76</v>
      </c>
      <c r="N49" s="8">
        <v>8.44</v>
      </c>
      <c r="O49" s="8">
        <v>7.69</v>
      </c>
      <c r="P49" s="9">
        <v>14.96</v>
      </c>
    </row>
    <row r="50" spans="1:16" ht="12.75">
      <c r="A50" s="1">
        <f t="shared" si="0"/>
        <v>44</v>
      </c>
      <c r="B50" s="4" t="s">
        <v>510</v>
      </c>
      <c r="C50" s="8">
        <v>36.06</v>
      </c>
      <c r="D50" s="8">
        <v>31.09</v>
      </c>
      <c r="E50" s="8">
        <v>20.18</v>
      </c>
      <c r="F50" s="8">
        <v>12.45</v>
      </c>
      <c r="G50" s="8">
        <v>11.7</v>
      </c>
      <c r="H50" s="8">
        <v>22.24</v>
      </c>
      <c r="I50" s="8">
        <v>19.07</v>
      </c>
      <c r="J50" s="8">
        <v>18.32</v>
      </c>
      <c r="K50" s="8">
        <v>16.92</v>
      </c>
      <c r="L50" s="8">
        <v>20.59</v>
      </c>
      <c r="M50" s="8">
        <v>13.29</v>
      </c>
      <c r="N50" s="8">
        <v>7.97</v>
      </c>
      <c r="O50" s="8">
        <v>7.22</v>
      </c>
      <c r="P50" s="9">
        <v>14.8</v>
      </c>
    </row>
    <row r="51" spans="1:16" ht="12.75">
      <c r="A51" s="1">
        <f t="shared" si="0"/>
        <v>45</v>
      </c>
      <c r="B51" s="4" t="s">
        <v>511</v>
      </c>
      <c r="C51" s="8">
        <v>36.18</v>
      </c>
      <c r="D51" s="8">
        <v>31.04</v>
      </c>
      <c r="E51" s="8">
        <v>19.88</v>
      </c>
      <c r="F51" s="8">
        <v>11.95</v>
      </c>
      <c r="G51" s="8">
        <v>11.2</v>
      </c>
      <c r="H51" s="8">
        <v>21.97</v>
      </c>
      <c r="I51" s="8">
        <v>18.81</v>
      </c>
      <c r="J51" s="8">
        <v>18.06</v>
      </c>
      <c r="K51" s="8">
        <v>16.48</v>
      </c>
      <c r="L51" s="8">
        <v>20.28</v>
      </c>
      <c r="M51" s="8">
        <v>13.14</v>
      </c>
      <c r="N51" s="8">
        <v>7.82</v>
      </c>
      <c r="O51" s="8">
        <v>7.07</v>
      </c>
      <c r="P51" s="9">
        <v>14.63</v>
      </c>
    </row>
    <row r="52" spans="1:16" ht="12.75">
      <c r="A52" s="1">
        <f t="shared" si="0"/>
        <v>46</v>
      </c>
      <c r="B52" s="4" t="s">
        <v>512</v>
      </c>
      <c r="C52" s="8">
        <v>36.11</v>
      </c>
      <c r="D52" s="8">
        <v>31.02</v>
      </c>
      <c r="E52" s="8">
        <v>19.25</v>
      </c>
      <c r="F52" s="8">
        <v>11.31</v>
      </c>
      <c r="G52" s="8">
        <v>10.56</v>
      </c>
      <c r="H52" s="8">
        <v>21.34</v>
      </c>
      <c r="I52" s="8">
        <v>18.18</v>
      </c>
      <c r="J52" s="8">
        <v>17.43</v>
      </c>
      <c r="K52" s="8">
        <v>15.89</v>
      </c>
      <c r="L52" s="8">
        <v>19.69</v>
      </c>
      <c r="M52" s="8">
        <v>13.06</v>
      </c>
      <c r="N52" s="8">
        <v>7.54</v>
      </c>
      <c r="O52" s="8">
        <v>6.79</v>
      </c>
      <c r="P52" s="9">
        <v>14.19</v>
      </c>
    </row>
    <row r="53" spans="1:16" ht="12.75">
      <c r="A53" s="1">
        <f t="shared" si="0"/>
        <v>47</v>
      </c>
      <c r="B53" s="4" t="s">
        <v>513</v>
      </c>
      <c r="C53" s="8">
        <v>35.61</v>
      </c>
      <c r="D53" s="8">
        <v>30.54</v>
      </c>
      <c r="E53" s="8">
        <v>18.92</v>
      </c>
      <c r="F53" s="8">
        <v>10.98</v>
      </c>
      <c r="G53" s="8">
        <v>10.23</v>
      </c>
      <c r="H53" s="8">
        <v>21.01</v>
      </c>
      <c r="I53" s="8">
        <v>17.85</v>
      </c>
      <c r="J53" s="8">
        <v>17.1</v>
      </c>
      <c r="K53" s="8">
        <v>15.56</v>
      </c>
      <c r="L53" s="8">
        <v>19.36</v>
      </c>
      <c r="M53" s="8">
        <v>13.24</v>
      </c>
      <c r="N53" s="8">
        <v>7.72</v>
      </c>
      <c r="O53" s="8">
        <v>6.97</v>
      </c>
      <c r="P53" s="9">
        <v>13.95</v>
      </c>
    </row>
    <row r="54" spans="1:16" ht="12.75">
      <c r="A54" s="1">
        <f t="shared" si="0"/>
        <v>48</v>
      </c>
      <c r="B54" s="4" t="s">
        <v>514</v>
      </c>
      <c r="C54" s="8">
        <v>35.62</v>
      </c>
      <c r="D54" s="8">
        <v>30.56</v>
      </c>
      <c r="E54" s="8">
        <v>18.65</v>
      </c>
      <c r="F54" s="8">
        <v>10.72</v>
      </c>
      <c r="G54" s="8">
        <v>9.97</v>
      </c>
      <c r="H54" s="8">
        <v>20.75</v>
      </c>
      <c r="I54" s="8">
        <v>17.59</v>
      </c>
      <c r="J54" s="8">
        <v>16.84</v>
      </c>
      <c r="K54" s="8">
        <v>15.15</v>
      </c>
      <c r="L54" s="8">
        <v>18.95</v>
      </c>
      <c r="M54" s="8">
        <v>13.32</v>
      </c>
      <c r="N54" s="8">
        <v>7.8</v>
      </c>
      <c r="O54" s="8">
        <v>7.05</v>
      </c>
      <c r="P54" s="9">
        <v>13.52</v>
      </c>
    </row>
    <row r="55" spans="1:16" ht="12.75">
      <c r="A55" s="1">
        <f t="shared" si="0"/>
        <v>49</v>
      </c>
      <c r="B55" s="4" t="s">
        <v>515</v>
      </c>
      <c r="C55" s="8">
        <v>35.66</v>
      </c>
      <c r="D55" s="8">
        <v>30.57</v>
      </c>
      <c r="E55" s="8">
        <v>18.7</v>
      </c>
      <c r="F55" s="8">
        <v>10.76</v>
      </c>
      <c r="G55" s="8">
        <v>10.01</v>
      </c>
      <c r="H55" s="8">
        <v>20.79</v>
      </c>
      <c r="I55" s="8">
        <v>17.63</v>
      </c>
      <c r="J55" s="8">
        <v>16.88</v>
      </c>
      <c r="K55" s="8">
        <v>15.14</v>
      </c>
      <c r="L55" s="8">
        <v>18.94</v>
      </c>
      <c r="M55" s="8">
        <v>13.42</v>
      </c>
      <c r="N55" s="8">
        <v>7.89</v>
      </c>
      <c r="O55" s="8">
        <v>7.14</v>
      </c>
      <c r="P55" s="9">
        <v>13.23</v>
      </c>
    </row>
    <row r="56" spans="1:16" ht="12.75">
      <c r="A56" s="1">
        <f t="shared" si="0"/>
        <v>50</v>
      </c>
      <c r="B56" s="4" t="s">
        <v>516</v>
      </c>
      <c r="C56" s="8">
        <v>35.84</v>
      </c>
      <c r="D56" s="8">
        <v>30.71</v>
      </c>
      <c r="E56" s="8">
        <v>18.41</v>
      </c>
      <c r="F56" s="8">
        <v>10.48</v>
      </c>
      <c r="G56" s="8">
        <v>9.73</v>
      </c>
      <c r="H56" s="8">
        <v>20.51</v>
      </c>
      <c r="I56" s="8">
        <v>17.35</v>
      </c>
      <c r="J56" s="8">
        <v>16.6</v>
      </c>
      <c r="K56" s="8">
        <v>15.01</v>
      </c>
      <c r="L56" s="8">
        <v>18.81</v>
      </c>
      <c r="M56" s="8">
        <v>13.65</v>
      </c>
      <c r="N56" s="8">
        <v>8.13</v>
      </c>
      <c r="O56" s="8">
        <v>7.38</v>
      </c>
      <c r="P56" s="9">
        <v>13.07</v>
      </c>
    </row>
    <row r="57" spans="1:16" ht="12.75">
      <c r="A57" s="1">
        <f t="shared" si="0"/>
        <v>51</v>
      </c>
      <c r="B57" s="4" t="s">
        <v>517</v>
      </c>
      <c r="C57" s="8">
        <v>35.51</v>
      </c>
      <c r="D57" s="8">
        <v>30.36</v>
      </c>
      <c r="E57" s="8">
        <v>17.98</v>
      </c>
      <c r="F57" s="8">
        <v>10.05</v>
      </c>
      <c r="G57" s="8">
        <v>9.3</v>
      </c>
      <c r="H57" s="8">
        <v>20.08</v>
      </c>
      <c r="I57" s="8">
        <v>16.92</v>
      </c>
      <c r="J57" s="8">
        <v>16.17</v>
      </c>
      <c r="K57" s="8">
        <v>14.46</v>
      </c>
      <c r="L57" s="8">
        <v>18.26</v>
      </c>
      <c r="M57" s="8">
        <v>13.65</v>
      </c>
      <c r="N57" s="8">
        <v>8.12</v>
      </c>
      <c r="O57" s="8">
        <v>7.37</v>
      </c>
      <c r="P57" s="9">
        <v>12.88</v>
      </c>
    </row>
    <row r="58" spans="1:16" ht="12.75">
      <c r="A58" s="1">
        <f t="shared" si="0"/>
        <v>52</v>
      </c>
      <c r="B58" s="4" t="s">
        <v>518</v>
      </c>
      <c r="C58" s="8">
        <v>36.34</v>
      </c>
      <c r="D58" s="8">
        <v>31.31</v>
      </c>
      <c r="E58" s="8">
        <v>19.27</v>
      </c>
      <c r="F58" s="8">
        <v>11.37</v>
      </c>
      <c r="G58" s="8">
        <v>10.59</v>
      </c>
      <c r="H58" s="8">
        <v>21.37</v>
      </c>
      <c r="I58" s="8">
        <v>18.2</v>
      </c>
      <c r="J58" s="8">
        <v>17.45</v>
      </c>
      <c r="K58" s="8">
        <v>15.76</v>
      </c>
      <c r="L58" s="8">
        <v>19.56</v>
      </c>
      <c r="M58" s="8">
        <v>13.46</v>
      </c>
      <c r="N58" s="8">
        <v>7.94</v>
      </c>
      <c r="O58" s="8">
        <v>7.19</v>
      </c>
      <c r="P58" s="9">
        <v>13.5</v>
      </c>
    </row>
    <row r="59" spans="2:16" ht="13.5" thickBot="1">
      <c r="B59" s="2" t="s">
        <v>65</v>
      </c>
      <c r="C59" s="61">
        <f aca="true" t="shared" si="1" ref="C59:O59">SUM(C7:C58)/52</f>
        <v>39.44173076923076</v>
      </c>
      <c r="D59" s="61">
        <f t="shared" si="1"/>
        <v>34.21615384615383</v>
      </c>
      <c r="E59" s="61">
        <f t="shared" si="1"/>
        <v>21.684230769230776</v>
      </c>
      <c r="F59" s="61">
        <f t="shared" si="1"/>
        <v>13.9275</v>
      </c>
      <c r="G59" s="61">
        <f t="shared" si="1"/>
        <v>13.193076923076925</v>
      </c>
      <c r="H59" s="61">
        <f t="shared" si="1"/>
        <v>23.328076923076914</v>
      </c>
      <c r="I59" s="61">
        <f t="shared" si="1"/>
        <v>20.226153846153846</v>
      </c>
      <c r="J59" s="61">
        <f t="shared" si="1"/>
        <v>19.50673076923077</v>
      </c>
      <c r="K59" s="61">
        <f t="shared" si="1"/>
        <v>18.335576923076918</v>
      </c>
      <c r="L59" s="61">
        <f t="shared" si="1"/>
        <v>21.955</v>
      </c>
      <c r="M59" s="61">
        <f t="shared" si="1"/>
        <v>14.200961538461533</v>
      </c>
      <c r="N59" s="61">
        <f t="shared" si="1"/>
        <v>9.055000000000001</v>
      </c>
      <c r="O59" s="61">
        <f t="shared" si="1"/>
        <v>8.24596153846154</v>
      </c>
      <c r="P59" s="61">
        <f>SUM(P7:P58)/11</f>
        <v>12.611818181818181</v>
      </c>
    </row>
    <row r="60" ht="13.5" thickTop="1"/>
  </sheetData>
  <sheetProtection/>
  <mergeCells count="4">
    <mergeCell ref="A1:P1"/>
    <mergeCell ref="A3:P3"/>
    <mergeCell ref="C5:P5"/>
    <mergeCell ref="A2:P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9" sqref="L39"/>
    </sheetView>
  </sheetViews>
  <sheetFormatPr defaultColWidth="11.421875" defaultRowHeight="12.75"/>
  <cols>
    <col min="1" max="1" width="29.421875" style="0" customWidth="1"/>
    <col min="2" max="5" width="5.57421875" style="0" bestFit="1" customWidth="1"/>
    <col min="6" max="8" width="6.57421875" style="0" bestFit="1" customWidth="1"/>
    <col min="9" max="9" width="7.140625" style="0" customWidth="1"/>
    <col min="10" max="18" width="6.57421875" style="0" bestFit="1" customWidth="1"/>
    <col min="19" max="20" width="6.57421875" style="0" customWidth="1"/>
    <col min="21" max="21" width="8.28125" style="0" bestFit="1" customWidth="1"/>
  </cols>
  <sheetData>
    <row r="1" spans="1:21" ht="15.75">
      <c r="A1" s="149" t="s">
        <v>958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5.75">
      <c r="A2" s="155" t="s">
        <v>1048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12.75">
      <c r="A3" s="154" t="s">
        <v>467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4" t="s">
        <v>702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.75">
      <c r="A5" s="154" t="s">
        <v>1054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</row>
    <row r="6" spans="1:20" ht="12.75">
      <c r="A6" s="19"/>
      <c r="B6" s="156" t="s">
        <v>256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</row>
    <row r="7" spans="1:21" ht="33.75">
      <c r="A7" s="128" t="s">
        <v>257</v>
      </c>
      <c r="B7" s="129">
        <v>2000</v>
      </c>
      <c r="C7" s="129">
        <v>2001</v>
      </c>
      <c r="D7" s="129">
        <v>2002</v>
      </c>
      <c r="E7" s="129">
        <v>2003</v>
      </c>
      <c r="F7" s="129">
        <v>2004</v>
      </c>
      <c r="G7" s="129">
        <v>2005</v>
      </c>
      <c r="H7" s="129">
        <v>2006</v>
      </c>
      <c r="I7" s="129">
        <v>2007</v>
      </c>
      <c r="J7" s="129">
        <v>2008</v>
      </c>
      <c r="K7" s="129">
        <v>2009</v>
      </c>
      <c r="L7" s="129">
        <v>2010</v>
      </c>
      <c r="M7" s="129">
        <v>2011</v>
      </c>
      <c r="N7" s="129">
        <v>2012</v>
      </c>
      <c r="O7" s="129">
        <v>2013</v>
      </c>
      <c r="P7" s="129">
        <v>2014</v>
      </c>
      <c r="Q7" s="129">
        <v>2015</v>
      </c>
      <c r="R7" s="129">
        <v>2016</v>
      </c>
      <c r="S7" s="129">
        <v>2017</v>
      </c>
      <c r="T7" s="129">
        <v>2018</v>
      </c>
      <c r="U7" s="130" t="s">
        <v>1053</v>
      </c>
    </row>
    <row r="8" spans="1:21" ht="12.75">
      <c r="A8" s="31" t="str">
        <f>'[1]Año 2004'!C5</f>
        <v>GASOLINA PREMIUN</v>
      </c>
      <c r="B8" s="109">
        <f>'Prom.Precs.Anual Pub. 2000'!C10</f>
        <v>38.45333333333333</v>
      </c>
      <c r="C8" s="109">
        <f>'Prom.Precs.Anual Combusts.2001'!C59</f>
        <v>39.44173076923076</v>
      </c>
      <c r="D8" s="109">
        <f>'Prom.Anual Precs.Pub. 2002'!C60</f>
        <v>41.400188679245275</v>
      </c>
      <c r="E8" s="109">
        <v>59.23</v>
      </c>
      <c r="F8" s="109">
        <f>'Prom.Precios Anual Combust 2004'!C59</f>
        <v>100.31750000000002</v>
      </c>
      <c r="G8" s="109">
        <f>'[1]Año 2005'!C58</f>
        <v>112.6115384615385</v>
      </c>
      <c r="H8" s="109">
        <f>'[1]Año 2006'!C58</f>
        <v>137.01346153846154</v>
      </c>
      <c r="I8" s="109">
        <f>'[1]Año 2007'!C58</f>
        <v>152.39663461538458</v>
      </c>
      <c r="J8" s="109">
        <f>'Prom.precio anual 2008'!C60</f>
        <v>176.7698113207547</v>
      </c>
      <c r="K8" s="109">
        <f>'Prom.Anual precios pub. 2009'!C60</f>
        <v>142.04038461538465</v>
      </c>
      <c r="L8" s="109">
        <f>'Prom.Anual Precs.Public.2010'!C59</f>
        <v>164.3576923076923</v>
      </c>
      <c r="M8" s="109">
        <f>'Prom. Anual Publico 2011'!C59</f>
        <v>212.30384615384614</v>
      </c>
      <c r="N8" s="109">
        <f>'Prom.Anual Precios al Pub.2012'!C60</f>
        <v>230.88113207547173</v>
      </c>
      <c r="O8" s="109">
        <v>251.64</v>
      </c>
      <c r="P8" s="109">
        <v>252.17</v>
      </c>
      <c r="Q8" s="109">
        <v>205.96</v>
      </c>
      <c r="R8" s="109">
        <f>'Prom.Anual al Pub. 2016'!C58</f>
        <v>193.07884615384597</v>
      </c>
      <c r="S8" s="109">
        <f>'Prom. Anual al Pub. 2017'!C58</f>
        <v>214.31923076923067</v>
      </c>
      <c r="T8" s="109">
        <f>'Prom. Anual al Pub. 2018'!C58</f>
        <v>237.4275000000001</v>
      </c>
      <c r="U8" s="109">
        <f>AVERAGE(B8:T8)</f>
        <v>155.88488583123265</v>
      </c>
    </row>
    <row r="9" spans="1:21" ht="12.75">
      <c r="A9" s="32" t="str">
        <f>'[1]Año 2004'!D5</f>
        <v>GASOLINA REGULAR</v>
      </c>
      <c r="B9" s="109">
        <f>'Prom.Precs.Anual Pub. 2000'!D10</f>
        <v>33.699999999999996</v>
      </c>
      <c r="C9" s="109">
        <f>'Prom.Precs.Anual Combusts.2001'!D59</f>
        <v>34.21615384615383</v>
      </c>
      <c r="D9" s="109">
        <f>'Prom.Anual Precs.Pub. 2002'!D60</f>
        <v>35.84830188679245</v>
      </c>
      <c r="E9" s="109">
        <v>52.61</v>
      </c>
      <c r="F9" s="109">
        <f>'Prom.Precios Anual Combust 2004'!D59</f>
        <v>91.49115384615386</v>
      </c>
      <c r="G9" s="109">
        <f>'[1]Año 2005'!D58</f>
        <v>102.0076923076923</v>
      </c>
      <c r="H9" s="109">
        <f>'[1]Año 2006'!D58</f>
        <v>124.11923076923078</v>
      </c>
      <c r="I9" s="109">
        <f>'[1]Año 2007'!D58</f>
        <v>141.2953846153846</v>
      </c>
      <c r="J9" s="109">
        <f>'Prom.precio anual 2008'!D60</f>
        <v>165.69999999999996</v>
      </c>
      <c r="K9" s="109">
        <f>'Prom.Anual precios pub. 2009'!D60</f>
        <v>131.91923076923075</v>
      </c>
      <c r="L9" s="109">
        <f>'Prom.Anual Precs.Public.2010'!D59</f>
        <v>154.60576923076923</v>
      </c>
      <c r="M9" s="109">
        <f>'Prom. Anual Publico 2011'!D59</f>
        <v>198.82692307692304</v>
      </c>
      <c r="N9" s="109">
        <f>'Prom.Anual Precios al Pub.2012'!D60</f>
        <v>213.84339622641522</v>
      </c>
      <c r="O9" s="109">
        <v>233.46</v>
      </c>
      <c r="P9" s="109">
        <v>237.12</v>
      </c>
      <c r="Q9" s="109">
        <v>185.69</v>
      </c>
      <c r="R9" s="109">
        <f>'Prom.Anual al Pub. 2016'!D58</f>
        <v>175.8153846153847</v>
      </c>
      <c r="S9" s="109">
        <f>'Prom. Anual al Pub. 2017'!D58</f>
        <v>199.4403846153847</v>
      </c>
      <c r="T9" s="109">
        <f>'Prom. Anual al Pub. 2018'!D58</f>
        <v>223.39999999999995</v>
      </c>
      <c r="U9" s="109">
        <f aca="true" t="shared" si="0" ref="U9:U14">AVERAGE(B9:T9)</f>
        <v>143.95310556871135</v>
      </c>
    </row>
    <row r="10" spans="1:21" ht="12.75">
      <c r="A10" s="32" t="str">
        <f>'[1]Año 2004'!E5</f>
        <v>GASOIL REGULAR</v>
      </c>
      <c r="B10" s="109">
        <f>'Prom.Precs.Anual Pub. 2000'!E10</f>
        <v>24.150000000000002</v>
      </c>
      <c r="C10" s="109">
        <f>'Prom.Precs.Anual Combusts.2001'!E59</f>
        <v>21.684230769230776</v>
      </c>
      <c r="D10" s="109">
        <f>'Prom.Anual Precs.Pub. 2002'!E60</f>
        <v>21.854528301886795</v>
      </c>
      <c r="E10" s="109">
        <v>35.96</v>
      </c>
      <c r="F10" s="109">
        <f>'Prom.Precios Anual Combust 2004'!E59</f>
        <v>68.58653846153847</v>
      </c>
      <c r="G10" s="109">
        <f>'[1]Año 2005'!E58</f>
        <v>78.67115384615386</v>
      </c>
      <c r="H10" s="109">
        <f>'[1]Año 2006'!E58</f>
        <v>97.67403846153849</v>
      </c>
      <c r="I10" s="109">
        <f>'[1]Año 2007'!E58</f>
        <v>112.8523076923077</v>
      </c>
      <c r="J10" s="109">
        <f>'Prom.precio anual 2008'!E60</f>
        <v>150.51509433962266</v>
      </c>
      <c r="K10" s="109">
        <f>'Prom.Anual precios pub. 2009'!E60</f>
        <v>111.60769230769233</v>
      </c>
      <c r="L10" s="109">
        <f>'Prom.Anual Precs.Public.2010'!E59</f>
        <v>133.28519230769228</v>
      </c>
      <c r="M10" s="109">
        <f>'Prom. Anual Publico 2011'!E59</f>
        <v>180.27307692307699</v>
      </c>
      <c r="N10" s="109">
        <f>'Prom.Anual Precios al Pub.2012'!E60</f>
        <v>197.17547169811334</v>
      </c>
      <c r="O10" s="109">
        <v>209.86</v>
      </c>
      <c r="P10" s="109">
        <v>208.96</v>
      </c>
      <c r="Q10" s="109">
        <v>151.57</v>
      </c>
      <c r="R10" s="109">
        <f>'Prom.Anual al Pub. 2016'!E58</f>
        <v>134.60000000000002</v>
      </c>
      <c r="S10" s="109">
        <f>'Prom. Anual al Pub. 2017'!E58</f>
        <v>152.2549019607843</v>
      </c>
      <c r="T10" s="109">
        <f>'Prom. Anual al Pub. 2018'!E58</f>
        <v>182.63000000000002</v>
      </c>
      <c r="U10" s="109">
        <f t="shared" si="0"/>
        <v>119.69285405629675</v>
      </c>
    </row>
    <row r="11" spans="1:21" ht="12.75">
      <c r="A11" s="32" t="str">
        <f>'[1]Año 2004'!F5</f>
        <v>GASOIL REGULAR EGP-C (NO-INTERC)</v>
      </c>
      <c r="B11" s="109">
        <v>0</v>
      </c>
      <c r="C11" s="109">
        <v>0</v>
      </c>
      <c r="D11" s="109">
        <v>0</v>
      </c>
      <c r="E11" s="109">
        <v>32.93</v>
      </c>
      <c r="F11" s="109">
        <f>'Prom.Precios Anual Combust 2004'!F59</f>
        <v>62.98499999999998</v>
      </c>
      <c r="G11" s="109">
        <f>'[1]Año 2005'!F58</f>
        <v>71.98324999999998</v>
      </c>
      <c r="H11" s="109">
        <f>'[1]Año 2006'!F58</f>
        <v>78.28576923076922</v>
      </c>
      <c r="I11" s="109">
        <f>'[1]Año 2007'!F58</f>
        <v>89.08230769230771</v>
      </c>
      <c r="J11" s="109">
        <f>'Prom.precio anual 2008'!F60</f>
        <v>126.33566037735851</v>
      </c>
      <c r="K11" s="109">
        <f>'Prom.Anual precios pub. 2009'!F60</f>
        <v>86.80019230769228</v>
      </c>
      <c r="L11" s="109">
        <f>'Prom.Anual Precs.Public.2010'!F59</f>
        <v>107.61673076923074</v>
      </c>
      <c r="M11" s="109">
        <f>'Prom. Anual Publico 2011'!F59</f>
        <v>148.0823076923077</v>
      </c>
      <c r="N11" s="109">
        <f>'Prom.Anual Precios al Pub.2012'!F60</f>
        <v>159.4671698113208</v>
      </c>
      <c r="O11" s="109">
        <v>169.29</v>
      </c>
      <c r="P11" s="109">
        <v>162.69</v>
      </c>
      <c r="Q11" s="109">
        <v>110.32</v>
      </c>
      <c r="R11" s="109">
        <f>'Prom.Anual al Pub. 2016'!F58</f>
        <v>96.655</v>
      </c>
      <c r="S11" s="109">
        <f>'Prom. Anual al Pub. 2017'!F58</f>
        <v>130.01115384615363</v>
      </c>
      <c r="T11" s="109">
        <f>'Prom. Anual al Pub. 2018'!F58</f>
        <v>160.58499999999998</v>
      </c>
      <c r="U11" s="109">
        <f t="shared" si="0"/>
        <v>94.37471272248108</v>
      </c>
    </row>
    <row r="12" spans="1:21" ht="12.75">
      <c r="A12" s="32" t="str">
        <f>'[1]Año 2004'!G5</f>
        <v>GASOIL REGULAR EGP-T (NO-INTERC)</v>
      </c>
      <c r="B12" s="109">
        <v>0</v>
      </c>
      <c r="C12" s="109">
        <v>0</v>
      </c>
      <c r="D12" s="109">
        <v>0</v>
      </c>
      <c r="E12" s="109">
        <v>31.97</v>
      </c>
      <c r="F12" s="109">
        <f>'Prom.Precios Anual Combust 2004'!G59</f>
        <v>61.07923076923076</v>
      </c>
      <c r="G12" s="109">
        <f>'[1]Año 2005'!G58</f>
        <v>69.73884615384614</v>
      </c>
      <c r="H12" s="109">
        <f>'[1]Año 2006'!G58</f>
        <v>75.44826923076921</v>
      </c>
      <c r="I12" s="109">
        <f>'[1]Año 2007'!G58</f>
        <v>86.08269230769231</v>
      </c>
      <c r="J12" s="109">
        <f>'Prom.precio anual 2008'!G60</f>
        <v>123.33566037735851</v>
      </c>
      <c r="K12" s="109">
        <f>'Prom.Anual precios pub. 2009'!G60</f>
        <v>83.85807692307691</v>
      </c>
      <c r="L12" s="109">
        <f>'Prom.Anual Precs.Public.2010'!G59</f>
        <v>104.61673076923073</v>
      </c>
      <c r="M12" s="109">
        <v>144.14</v>
      </c>
      <c r="N12" s="109">
        <f>'Prom.Anual Precios al Pub.2012'!G60</f>
        <v>154.7871698113207</v>
      </c>
      <c r="O12" s="109">
        <v>164.6</v>
      </c>
      <c r="P12" s="109">
        <v>161.3</v>
      </c>
      <c r="Q12" s="109">
        <v>105.64</v>
      </c>
      <c r="R12" s="109">
        <f>'Prom.Anual al Pub. 2016'!G58</f>
        <v>91.59038461538465</v>
      </c>
      <c r="S12" s="109">
        <f>'Prom. Anual al Pub. 2017'!G58</f>
        <v>124.33115384615388</v>
      </c>
      <c r="T12" s="109">
        <f>'Prom. Anual al Pub. 2018'!G58</f>
        <v>154.90500000000011</v>
      </c>
      <c r="U12" s="109">
        <f t="shared" si="0"/>
        <v>91.44332709495075</v>
      </c>
    </row>
    <row r="13" spans="1:21" ht="12.75">
      <c r="A13" s="32" t="str">
        <f>'[1]Año 2004'!H5</f>
        <v>GASOIL REGULAR EGP-C (INTERC)</v>
      </c>
      <c r="B13" s="109">
        <f>'Prom.Precs.Anual Pub. 2000'!F10</f>
        <v>16.41333333333333</v>
      </c>
      <c r="C13" s="109">
        <f>'Prom.Precs.Anual Combusts.2001'!F59</f>
        <v>13.9275</v>
      </c>
      <c r="D13" s="109">
        <f>'Prom.Anual Precs.Pub. 2002'!F60</f>
        <v>16.374150943396224</v>
      </c>
      <c r="E13" s="109">
        <v>27.38</v>
      </c>
      <c r="F13" s="109">
        <f>'Prom.Precios Anual Combust 2004'!H59</f>
        <v>55.16</v>
      </c>
      <c r="G13" s="109">
        <f>'[1]Año 2005'!H58</f>
        <v>61.25403846153847</v>
      </c>
      <c r="H13" s="109">
        <f>'[1]Año 2006'!H58</f>
        <v>68.54365384615386</v>
      </c>
      <c r="I13" s="109">
        <f>'[1]Año 2007'!H58</f>
        <v>72.85499999999998</v>
      </c>
      <c r="J13" s="109">
        <f>'Prom.precio anual 2008'!H60</f>
        <v>104.87528301886792</v>
      </c>
      <c r="K13" s="109">
        <f>'Prom.Anual precios pub. 2009'!H60</f>
        <v>70.94538461538463</v>
      </c>
      <c r="L13" s="109">
        <f>'Prom.Anual Precs.Public.2010'!H59</f>
        <v>88.84057692307701</v>
      </c>
      <c r="M13" s="109">
        <f>'Prom. Anual Publico 2011'!H59</f>
        <v>123.22365384615385</v>
      </c>
      <c r="N13" s="109">
        <f>'Prom.Anual Precios al Pub.2012'!H60</f>
        <v>132.4854716981132</v>
      </c>
      <c r="O13" s="109">
        <v>138.38</v>
      </c>
      <c r="P13" s="109">
        <v>138.59</v>
      </c>
      <c r="Q13" s="109">
        <v>89.78</v>
      </c>
      <c r="R13" s="109">
        <f>'Prom.Anual al Pub. 2016'!H58</f>
        <v>79.56192307692307</v>
      </c>
      <c r="S13" s="109">
        <f>'Prom. Anual al Pub. 2017'!H58</f>
        <v>129.9149999999998</v>
      </c>
      <c r="T13" s="109">
        <f>'Prom. Anual al Pub. 2018'!H58</f>
        <v>160.58499999999998</v>
      </c>
      <c r="U13" s="109">
        <f t="shared" si="0"/>
        <v>83.63631419804953</v>
      </c>
    </row>
    <row r="14" spans="1:21" ht="12.75">
      <c r="A14" s="32" t="str">
        <f>'[1]Año 2004'!I5</f>
        <v>GASOIL REGULAR EGP-T (INTERC)</v>
      </c>
      <c r="B14" s="109">
        <f>'Prom.Precs.Anual Pub. 2000'!G10</f>
        <v>15.733333333333334</v>
      </c>
      <c r="C14" s="109">
        <f>'Prom.Precs.Anual Combusts.2001'!G59</f>
        <v>13.193076923076925</v>
      </c>
      <c r="D14" s="109">
        <f>'Prom.Anual Precs.Pub. 2002'!G60</f>
        <v>15.624150943396224</v>
      </c>
      <c r="E14" s="109">
        <v>26.1</v>
      </c>
      <c r="F14" s="109">
        <f>'Prom.Precios Anual Combust 2004'!I59</f>
        <v>53.22923076923075</v>
      </c>
      <c r="G14" s="109">
        <f>'[1]Año 2005'!I58</f>
        <v>59.0098076923077</v>
      </c>
      <c r="H14" s="109">
        <f>'[1]Año 2006'!I58</f>
        <v>65.70615384615385</v>
      </c>
      <c r="I14" s="109">
        <f>'[1]Año 2007'!I58</f>
        <v>69.85499999999998</v>
      </c>
      <c r="J14" s="109">
        <f>'Prom.precio anual 2008'!I60</f>
        <v>101.87584905660377</v>
      </c>
      <c r="K14" s="109">
        <f>'Prom.Anual precios pub. 2009'!I60</f>
        <v>67.94538461538464</v>
      </c>
      <c r="L14" s="109">
        <f>'Prom.Anual Precs.Public.2010'!I59</f>
        <v>85.840576923077</v>
      </c>
      <c r="M14" s="109">
        <f>'Prom. Anual Publico 2011'!I59</f>
        <v>119.19288461538461</v>
      </c>
      <c r="N14" s="109">
        <f>'Prom.Anual Precios al Pub.2012'!I60</f>
        <v>127.80566037735845</v>
      </c>
      <c r="O14" s="109">
        <v>136.41</v>
      </c>
      <c r="P14" s="109">
        <v>133.59</v>
      </c>
      <c r="Q14" s="109">
        <v>85.1</v>
      </c>
      <c r="R14" s="109">
        <f>'Prom.Anual al Pub. 2016'!I58</f>
        <v>75.74749999999999</v>
      </c>
      <c r="S14" s="109">
        <f>'Prom. Anual al Pub. 2017'!I58</f>
        <v>124.33115384615388</v>
      </c>
      <c r="T14" s="109">
        <f>'Prom. Anual al Pub. 2018'!I58</f>
        <v>154.90500000000011</v>
      </c>
      <c r="U14" s="109">
        <f t="shared" si="0"/>
        <v>80.58919804955059</v>
      </c>
    </row>
    <row r="15" spans="1:21" ht="12.75">
      <c r="A15" s="32" t="str">
        <f>'[1]Año 2004'!J5</f>
        <v>GASOIL PREMIUN 0.3% A.</v>
      </c>
      <c r="B15" s="109">
        <f>'Prom.Precs.Anual Pub. 2000'!H10</f>
        <v>26.23</v>
      </c>
      <c r="C15" s="109">
        <f>'Prom.Precs.Anual Combusts.2001'!H59</f>
        <v>23.328076923076914</v>
      </c>
      <c r="D15" s="109">
        <f>'Prom.Anual Precs.Pub. 2002'!H60</f>
        <v>23.956415094339633</v>
      </c>
      <c r="E15" s="109">
        <v>38.19</v>
      </c>
      <c r="F15" s="109">
        <f>'Prom.Precios Anual Combust 2004'!J59</f>
        <v>71.37519230769232</v>
      </c>
      <c r="G15" s="109">
        <f>'[1]Año 2005'!J58</f>
        <v>81.77692307692307</v>
      </c>
      <c r="H15" s="109">
        <f>'[1]Año 2006'!J58</f>
        <v>100.94711538461539</v>
      </c>
      <c r="I15" s="109">
        <f>'[1]Año 2007'!J58</f>
        <v>116.55115384615381</v>
      </c>
      <c r="J15" s="109">
        <f>'Prom.precio anual 2008'!J60</f>
        <v>155.08490566037736</v>
      </c>
      <c r="K15" s="109">
        <f>'Prom.Anual precios pub. 2009'!J60</f>
        <v>116.81153846153849</v>
      </c>
      <c r="L15" s="109">
        <f>'Prom.Anual Precs.Public.2010'!J59</f>
        <v>138.54807692307688</v>
      </c>
      <c r="M15" s="109">
        <f>'Prom. Anual Publico 2011'!J59</f>
        <v>186.15519230769235</v>
      </c>
      <c r="N15" s="109">
        <f>'Prom.Anual Precios al Pub.2012'!J60</f>
        <v>203.8283018867924</v>
      </c>
      <c r="O15" s="109">
        <v>216.56</v>
      </c>
      <c r="P15" s="109">
        <v>215.95</v>
      </c>
      <c r="Q15" s="109">
        <v>164.14</v>
      </c>
      <c r="R15" s="109">
        <v>0</v>
      </c>
      <c r="S15" s="109">
        <v>0</v>
      </c>
      <c r="T15" s="109">
        <v>0</v>
      </c>
      <c r="U15" s="109">
        <f>AVERAGE(B15:Q15)</f>
        <v>117.46455574201741</v>
      </c>
    </row>
    <row r="16" spans="1:21" ht="12.75">
      <c r="A16" s="32" t="str">
        <f>'[1]Año 2004'!K5</f>
        <v>GASOIL PREMIUN EGP-C</v>
      </c>
      <c r="B16" s="109">
        <f>'Prom.Precs.Anual Pub. 2000'!I10</f>
        <v>23.063333333333333</v>
      </c>
      <c r="C16" s="109">
        <f>'Prom.Precs.Anual Combusts.2001'!I59</f>
        <v>20.226153846153846</v>
      </c>
      <c r="D16" s="109">
        <f>'Prom.Anual Precs.Pub. 2002'!I60</f>
        <v>20.791132075471694</v>
      </c>
      <c r="E16" s="109">
        <v>34.71</v>
      </c>
      <c r="F16" s="109">
        <f>'Prom.Precios Anual Combust 2004'!K59</f>
        <v>65.73057692307694</v>
      </c>
      <c r="G16" s="109">
        <f>'[1]Año 2005'!K58</f>
        <v>75.14326923076923</v>
      </c>
      <c r="H16" s="109">
        <f>'[1]Año 2006'!K58</f>
        <v>91.15403846153848</v>
      </c>
      <c r="I16" s="109">
        <f>'[1]Año 2007'!K58</f>
        <v>105.60961538461541</v>
      </c>
      <c r="J16" s="109">
        <f>'Prom.precio anual 2008'!K60</f>
        <v>143.9156603773585</v>
      </c>
      <c r="K16" s="109">
        <f>'Prom.Anual precios pub. 2009'!K60</f>
        <v>103.76538461538463</v>
      </c>
      <c r="L16" s="109">
        <f>'Prom.Anual Precs.Public.2010'!K59</f>
        <v>125.04596153846154</v>
      </c>
      <c r="M16" s="109">
        <f>'Prom. Anual Publico 2011'!K59</f>
        <v>168.16442307692307</v>
      </c>
      <c r="N16" s="109">
        <f>'Prom.Anual Precios al Pub.2012'!K60</f>
        <v>179.42584905660388</v>
      </c>
      <c r="O16" s="109">
        <v>194.39</v>
      </c>
      <c r="P16" s="109">
        <v>192.14</v>
      </c>
      <c r="Q16" s="109">
        <v>141.14</v>
      </c>
      <c r="R16" s="109">
        <v>0</v>
      </c>
      <c r="S16" s="109">
        <v>0</v>
      </c>
      <c r="T16" s="109">
        <v>0</v>
      </c>
      <c r="U16" s="109">
        <f>AVERAGE(B16:Q16)</f>
        <v>105.27596236998065</v>
      </c>
    </row>
    <row r="17" spans="1:21" ht="12.75">
      <c r="A17" s="32" t="str">
        <f>'[1]Año 2004'!L5</f>
        <v>GASOIL PREMIUN EGP-T</v>
      </c>
      <c r="B17" s="109">
        <f>'Prom.Precs.Anual Pub. 2000'!J10</f>
        <v>22.38333333333333</v>
      </c>
      <c r="C17" s="109">
        <f>'Prom.Precs.Anual Combusts.2001'!J59</f>
        <v>19.50673076923077</v>
      </c>
      <c r="D17" s="109">
        <f>'Prom.Anual Precs.Pub. 2002'!J60</f>
        <v>20.041132075471694</v>
      </c>
      <c r="E17" s="109">
        <v>33.74</v>
      </c>
      <c r="F17" s="109">
        <f>'Prom.Precios Anual Combust 2004'!L59</f>
        <v>63.805576923076906</v>
      </c>
      <c r="G17" s="109">
        <f>'[1]Año 2005'!L58</f>
        <v>72.8994230769231</v>
      </c>
      <c r="H17" s="109">
        <f>'[1]Año 2006'!L58</f>
        <v>88.3165384615385</v>
      </c>
      <c r="I17" s="109">
        <f>'[1]Año 2007'!L58</f>
        <v>102.60384615384618</v>
      </c>
      <c r="J17" s="109">
        <f>'Prom.precio anual 2008'!L60</f>
        <v>140.91622641509434</v>
      </c>
      <c r="K17" s="109">
        <f>'Prom.Anual precios pub. 2009'!L60</f>
        <v>100.3367307692308</v>
      </c>
      <c r="L17" s="109">
        <f>'Prom.Anual Precs.Public.2010'!L59</f>
        <v>122.03721153846158</v>
      </c>
      <c r="M17" s="109">
        <f>'Prom. Anual Publico 2011'!L59</f>
        <v>164.20884615384614</v>
      </c>
      <c r="N17" s="109">
        <f>'Prom.Anual Precios al Pub.2012'!L60</f>
        <v>177.56113207547165</v>
      </c>
      <c r="O17" s="109">
        <v>189.71</v>
      </c>
      <c r="P17" s="109">
        <v>187.38</v>
      </c>
      <c r="Q17" s="109">
        <v>136.46</v>
      </c>
      <c r="R17" s="109">
        <v>0</v>
      </c>
      <c r="S17" s="109">
        <v>0</v>
      </c>
      <c r="T17" s="109">
        <v>0</v>
      </c>
      <c r="U17" s="109">
        <f>AVERAGE(B17:Q17)</f>
        <v>102.61917048409532</v>
      </c>
    </row>
    <row r="18" spans="1:21" ht="12.75">
      <c r="A18" s="32" t="s">
        <v>695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f>'Prom.Anual Precios al Pub.2012'!M60</f>
        <v>218.39999999999995</v>
      </c>
      <c r="O18" s="109">
        <v>228.05</v>
      </c>
      <c r="P18" s="109">
        <v>225.08</v>
      </c>
      <c r="Q18" s="109">
        <v>168.21</v>
      </c>
      <c r="R18" s="109">
        <f>'Prom.Anual al Pub. 2016'!J58</f>
        <v>147.76730769230778</v>
      </c>
      <c r="S18" s="109">
        <f>'Prom. Anual al Pub. 2017'!J58</f>
        <v>166.146153846154</v>
      </c>
      <c r="T18" s="109">
        <f>'Prom. Anual al Pub. 2018'!J58</f>
        <v>195.48000000000008</v>
      </c>
      <c r="U18" s="109">
        <f aca="true" t="shared" si="1" ref="U18:U25">AVERAGE(B18:T18)</f>
        <v>71.00702429149798</v>
      </c>
    </row>
    <row r="19" spans="1:21" ht="12.75">
      <c r="A19" s="32" t="str">
        <f>'[1]Año 2004'!M5</f>
        <v>AVTUR </v>
      </c>
      <c r="B19" s="109">
        <f>'Prom.Precs.Anual Pub. 2000'!K10</f>
        <v>21.633333333333336</v>
      </c>
      <c r="C19" s="109">
        <f>'Prom.Precs.Anual Combusts.2001'!K59</f>
        <v>18.335576923076918</v>
      </c>
      <c r="D19" s="109">
        <f>'Prom.Anual Precs.Pub. 2002'!K60</f>
        <v>18.678113207547177</v>
      </c>
      <c r="E19" s="109">
        <f>'Prom.Anual Precs.Pub. 2003'!M59</f>
        <v>32.794423076923074</v>
      </c>
      <c r="F19" s="109">
        <f>'Prom.Precios Anual Combust 2004'!M59</f>
        <v>66.75942307692308</v>
      </c>
      <c r="G19" s="109">
        <f>'[1]Año 2005'!M58</f>
        <v>72.13269230769232</v>
      </c>
      <c r="H19" s="109">
        <f>'[1]Año 2006'!M58</f>
        <v>87.7396153846154</v>
      </c>
      <c r="I19" s="109">
        <f>'[1]Año 2007'!M58</f>
        <v>96.36500000000001</v>
      </c>
      <c r="J19" s="109">
        <f>'Prom.precio anual 2008'!M60</f>
        <v>135.95584905660377</v>
      </c>
      <c r="K19" s="109">
        <f>'Prom.Anual precios pub. 2009'!M60</f>
        <v>87.04134615384616</v>
      </c>
      <c r="L19" s="109">
        <f>'Prom.Anual Precs.Public.2010'!M59</f>
        <v>108.08480769230772</v>
      </c>
      <c r="M19" s="109">
        <f>'Prom. Anual Publico 2011'!M59</f>
        <v>149.81076923076927</v>
      </c>
      <c r="N19" s="109">
        <f>'Prom.Anual Precios al Pub.2012'!N60</f>
        <v>159.86056603773582</v>
      </c>
      <c r="O19" s="109">
        <v>157.26</v>
      </c>
      <c r="P19" s="109">
        <v>154.57</v>
      </c>
      <c r="Q19" s="109">
        <v>106.48</v>
      </c>
      <c r="R19" s="109">
        <f>'Prom.Anual al Pub. 2016'!K58</f>
        <v>95.77499999999995</v>
      </c>
      <c r="S19" s="109">
        <f>'Prom. Anual al Pub. 2017'!K58</f>
        <v>117.93846153846147</v>
      </c>
      <c r="T19" s="109">
        <f>'Prom. Anual al Pub. 2018'!K58</f>
        <v>145.74999999999994</v>
      </c>
      <c r="U19" s="109">
        <f t="shared" si="1"/>
        <v>96.4718408957808</v>
      </c>
    </row>
    <row r="20" spans="1:21" ht="12.75">
      <c r="A20" s="32" t="str">
        <f>'[1]Año 2004'!N5</f>
        <v>KEROSENE</v>
      </c>
      <c r="B20" s="109">
        <f>'Prom.Precs.Anual Pub. 2000'!L10</f>
        <v>25.30333333333333</v>
      </c>
      <c r="C20" s="109">
        <f>'Prom.Precs.Anual Combusts.2001'!L59</f>
        <v>21.955</v>
      </c>
      <c r="D20" s="109">
        <f>'Prom.Anual Precs.Pub. 2002'!L60</f>
        <v>22.47811320754717</v>
      </c>
      <c r="E20" s="109">
        <f>'Prom.Anual Precs.Pub. 2003'!N59</f>
        <v>36.754999999999995</v>
      </c>
      <c r="F20" s="109">
        <f>'Prom.Precios Anual Combust 2004'!N59</f>
        <v>70.87499999999999</v>
      </c>
      <c r="G20" s="109">
        <f>'[1]Año 2005'!N58</f>
        <v>81.53076923076922</v>
      </c>
      <c r="H20" s="109">
        <f>'[1]Año 2006'!N58</f>
        <v>101.16346153846156</v>
      </c>
      <c r="I20" s="109">
        <f>'[1]Año 2007'!N58</f>
        <v>110.41807692307695</v>
      </c>
      <c r="J20" s="109">
        <f>'Prom.precio anual 2008'!N60</f>
        <v>151.62641509433965</v>
      </c>
      <c r="K20" s="109">
        <f>'Prom.Anual precios pub. 2009'!N60</f>
        <v>103.59807692307685</v>
      </c>
      <c r="L20" s="109">
        <f>'Prom.Anual Precs.Public.2010'!N59</f>
        <v>125.11730769230768</v>
      </c>
      <c r="M20" s="109">
        <f>'Prom. Anual Publico 2011'!N59</f>
        <v>172.83076923076925</v>
      </c>
      <c r="N20" s="109">
        <f>'Prom.Anual Precios al Pub.2012'!O60</f>
        <v>187.33207547169815</v>
      </c>
      <c r="O20" s="109">
        <v>195.82</v>
      </c>
      <c r="P20" s="109">
        <v>193.29</v>
      </c>
      <c r="Q20" s="109">
        <v>134.78</v>
      </c>
      <c r="R20" s="109">
        <f>'Prom.Anual al Pub. 2016'!L58</f>
        <v>118.81153846153848</v>
      </c>
      <c r="S20" s="109">
        <f>'Prom. Anual al Pub. 2017'!L58</f>
        <v>143.13173076923084</v>
      </c>
      <c r="T20" s="109">
        <f>'Prom. Anual al Pub. 2018'!L58</f>
        <v>172.7500000000001</v>
      </c>
      <c r="U20" s="109">
        <f t="shared" si="1"/>
        <v>114.18771936190258</v>
      </c>
    </row>
    <row r="21" spans="1:21" ht="12.75">
      <c r="A21" s="32" t="str">
        <f>'[1]Año 2004'!O5</f>
        <v>FUEL OIL</v>
      </c>
      <c r="B21" s="109">
        <f>'Prom.Precs.Anual Pub. 2000'!M10</f>
        <v>13.833333333333334</v>
      </c>
      <c r="C21" s="109">
        <f>'Prom.Precs.Anual Combusts.2001'!M59</f>
        <v>14.200961538461533</v>
      </c>
      <c r="D21" s="109">
        <f>'Prom.Anual Precs.Pub. 2002'!M60</f>
        <v>16.606792452830184</v>
      </c>
      <c r="E21" s="109">
        <f>'Prom.Anual Precs.Pub. 2003'!O59</f>
        <v>27.215576923076927</v>
      </c>
      <c r="F21" s="109">
        <f>'Prom.Precios Anual Combust 2004'!O59</f>
        <v>42.31557692307693</v>
      </c>
      <c r="G21" s="109">
        <f>'[1]Año 2005'!O58</f>
        <v>47.72865384615386</v>
      </c>
      <c r="H21" s="109">
        <f>'[1]Año 2006'!O58</f>
        <v>61.537692307692296</v>
      </c>
      <c r="I21" s="109">
        <f>'[1]Año 2007'!O58</f>
        <v>67.43096153846153</v>
      </c>
      <c r="J21" s="109">
        <f>'Prom.precio anual 2008'!O60</f>
        <v>91.70716981132075</v>
      </c>
      <c r="K21" s="109">
        <f>'Prom.Anual precios pub. 2009'!O60</f>
        <v>79.37788461538464</v>
      </c>
      <c r="L21" s="109">
        <f>'Prom.Anual Precs.Public.2010'!O59</f>
        <v>96.14730769230769</v>
      </c>
      <c r="M21" s="109">
        <f>'Prom. Anual Publico 2011'!O59</f>
        <v>125.68475000000004</v>
      </c>
      <c r="N21" s="109">
        <f>'Prom.Anual Precios al Pub.2012'!P60</f>
        <v>139.58716981132085</v>
      </c>
      <c r="O21" s="109">
        <v>142.18</v>
      </c>
      <c r="P21" s="109">
        <v>138.21</v>
      </c>
      <c r="Q21" s="109">
        <v>86.72</v>
      </c>
      <c r="R21" s="109">
        <f>'Prom.Anual al Pub. 2016'!M58</f>
        <v>74.38711538461544</v>
      </c>
      <c r="S21" s="109">
        <f>'Prom. Anual al Pub. 2017'!M58</f>
        <v>98.18173076923085</v>
      </c>
      <c r="T21" s="109">
        <f>'Prom. Anual al Pub. 2018'!M58</f>
        <v>118.55</v>
      </c>
      <c r="U21" s="109">
        <f t="shared" si="1"/>
        <v>77.97908826038247</v>
      </c>
    </row>
    <row r="22" spans="1:21" ht="12.75">
      <c r="A22" s="32" t="str">
        <f>'[1]Año 2004'!P5</f>
        <v>FUEL OIL EGP-C (NO INTERC)</v>
      </c>
      <c r="B22" s="109">
        <v>0</v>
      </c>
      <c r="C22" s="109">
        <v>0</v>
      </c>
      <c r="D22" s="109">
        <v>0</v>
      </c>
      <c r="E22" s="109">
        <v>26.88</v>
      </c>
      <c r="F22" s="109">
        <f>'Prom.Precios Anual Combust 2004'!P59</f>
        <v>41.91134615384614</v>
      </c>
      <c r="G22" s="109">
        <f>'[1]Año 2005'!P58</f>
        <v>47.32153846153846</v>
      </c>
      <c r="H22" s="109">
        <f>'[1]Año 2006'!P58</f>
        <v>51.80538461538461</v>
      </c>
      <c r="I22" s="109">
        <f>'[1]Año 2007'!P58</f>
        <v>54.58403846153845</v>
      </c>
      <c r="J22" s="109">
        <f>'Prom.precio anual 2008'!P60</f>
        <v>78.61924528301886</v>
      </c>
      <c r="K22" s="109">
        <f>'Prom.Anual precios pub. 2009'!P60</f>
        <v>66.34807692307689</v>
      </c>
      <c r="L22" s="109">
        <f>'Prom.Anual Precs.Public.2010'!P59</f>
        <v>82.85096153846152</v>
      </c>
      <c r="M22" s="109">
        <f>'Prom. Anual Publico 2011'!P59</f>
        <v>112.74461538461539</v>
      </c>
      <c r="N22" s="109">
        <f>'Prom.Anual Precios al Pub.2012'!Q60</f>
        <v>122.27094339622646</v>
      </c>
      <c r="O22" s="109">
        <v>124.46</v>
      </c>
      <c r="P22" s="109">
        <v>119.91</v>
      </c>
      <c r="Q22" s="109">
        <v>67.59</v>
      </c>
      <c r="R22" s="109">
        <f>'Prom.Anual al Pub. 2016'!N58</f>
        <v>57.36923076923074</v>
      </c>
      <c r="S22" s="109">
        <f>'Prom. Anual al Pub. 2017'!N58</f>
        <v>96.16634615384606</v>
      </c>
      <c r="T22" s="109">
        <f>'Prom. Anual al Pub. 2018'!N58</f>
        <v>116.17237499999992</v>
      </c>
      <c r="U22" s="109">
        <f t="shared" si="1"/>
        <v>66.68442642846229</v>
      </c>
    </row>
    <row r="23" spans="1:21" ht="12.75">
      <c r="A23" s="32" t="str">
        <f>'[1]Año 2004'!Q5</f>
        <v>FUEL OIL EGP-T (NO INTERC)</v>
      </c>
      <c r="B23" s="109">
        <v>0</v>
      </c>
      <c r="C23" s="109">
        <v>0</v>
      </c>
      <c r="D23" s="109">
        <v>0</v>
      </c>
      <c r="E23" s="109">
        <v>25.91</v>
      </c>
      <c r="F23" s="109">
        <f>'Prom.Precios Anual Combust 2004'!Q59</f>
        <v>39.986346153846156</v>
      </c>
      <c r="G23" s="109">
        <f>'[1]Año 2005'!Q58</f>
        <v>45.08115384615384</v>
      </c>
      <c r="H23" s="109">
        <f>'[1]Año 2006'!Q58</f>
        <v>48.967884615384605</v>
      </c>
      <c r="I23" s="109">
        <f>'[1]Año 2007'!Q58</f>
        <v>51.58980769230769</v>
      </c>
      <c r="J23" s="109">
        <f>'Prom.precio anual 2008'!Q60</f>
        <v>74.59924528301887</v>
      </c>
      <c r="K23" s="109">
        <f>'Prom.Anual precios pub. 2009'!Q60</f>
        <v>62.771153846153815</v>
      </c>
      <c r="L23" s="109">
        <f>'Prom.Anual Precs.Public.2010'!Q59</f>
        <v>79.85096153846152</v>
      </c>
      <c r="M23" s="109">
        <f>'Prom. Anual Publico 2011'!Q59</f>
        <v>108.74673076923071</v>
      </c>
      <c r="N23" s="109">
        <f>'Prom.Anual Precios al Pub.2012'!R60</f>
        <v>117.59094339622642</v>
      </c>
      <c r="O23" s="109">
        <v>119.78</v>
      </c>
      <c r="P23" s="109">
        <v>115.23</v>
      </c>
      <c r="Q23" s="109">
        <v>62.92</v>
      </c>
      <c r="R23" s="109">
        <f>'Prom.Anual al Pub. 2016'!O58</f>
        <v>52.27576923076923</v>
      </c>
      <c r="S23" s="109">
        <f>'Prom. Anual al Pub. 2017'!O58</f>
        <v>90.4863461538462</v>
      </c>
      <c r="T23" s="109">
        <f>'Prom. Anual al Pub. 2018'!O58</f>
        <v>110.49500000000003</v>
      </c>
      <c r="U23" s="109">
        <f t="shared" si="1"/>
        <v>63.48849171186311</v>
      </c>
    </row>
    <row r="24" spans="1:21" ht="12.75">
      <c r="A24" s="32" t="str">
        <f>'[1]Año 2004'!R5</f>
        <v>FUEL OIL EGP-C (INTERC)</v>
      </c>
      <c r="B24" s="109">
        <f>'Prom.Precs.Anual Pub. 2000'!N10</f>
        <v>8.51</v>
      </c>
      <c r="C24" s="109">
        <f>'Prom.Precs.Anual Combusts.2001'!N59</f>
        <v>9.055000000000001</v>
      </c>
      <c r="D24" s="109">
        <f>'Prom.Anual Precs.Pub. 2002'!N60</f>
        <v>13.53641509433962</v>
      </c>
      <c r="E24" s="109">
        <v>21.37</v>
      </c>
      <c r="F24" s="109">
        <f>'Prom.Precios Anual Combust 2004'!R59</f>
        <v>34.11673076923076</v>
      </c>
      <c r="G24" s="109">
        <f>'[1]Año 2005'!R58</f>
        <v>36.5925</v>
      </c>
      <c r="H24" s="109">
        <f>'[1]Año 2006'!R58</f>
        <v>45.07115384615384</v>
      </c>
      <c r="I24" s="109">
        <f>'[1]Año 2007'!R58</f>
        <v>47.574615384615385</v>
      </c>
      <c r="J24" s="109">
        <f>'Prom.precio anual 2008'!R60</f>
        <v>68.27169811320753</v>
      </c>
      <c r="K24" s="109">
        <f>'Prom.Anual precios pub. 2009'!R60</f>
        <v>57.692884615384635</v>
      </c>
      <c r="L24" s="109">
        <f>'Prom.Anual Precs.Public.2010'!R59</f>
        <v>71.9198076923077</v>
      </c>
      <c r="M24" s="109">
        <f>'Prom. Anual Publico 2011'!R59</f>
        <v>97.85442307692307</v>
      </c>
      <c r="N24" s="109">
        <f>'Prom.Anual Precios al Pub.2012'!S60</f>
        <v>106.16792452830184</v>
      </c>
      <c r="O24" s="109">
        <v>108.1</v>
      </c>
      <c r="P24" s="109">
        <v>104.15</v>
      </c>
      <c r="Q24" s="109">
        <v>60.26</v>
      </c>
      <c r="R24" s="109">
        <f>'Prom.Anual al Pub. 2016'!P58</f>
        <v>51.83711538461538</v>
      </c>
      <c r="S24" s="109">
        <f>'Prom. Anual al Pub. 2017'!P58</f>
        <v>96.16634615384606</v>
      </c>
      <c r="T24" s="109">
        <f>'Prom. Anual al Pub. 2018'!P58</f>
        <v>116.17499999999993</v>
      </c>
      <c r="U24" s="109">
        <f t="shared" si="1"/>
        <v>60.75903235046978</v>
      </c>
    </row>
    <row r="25" spans="1:21" ht="12.75">
      <c r="A25" s="32" t="str">
        <f>'[1]Año 2004'!S5</f>
        <v>FUEL OIL EGP-T (INTERC)</v>
      </c>
      <c r="B25" s="109">
        <f>'Prom.Precs.Anual Pub. 2000'!O10</f>
        <v>7.829999999999999</v>
      </c>
      <c r="C25" s="109">
        <f>'Prom.Precs.Anual Combusts.2001'!O59</f>
        <v>8.24596153846154</v>
      </c>
      <c r="D25" s="109">
        <f>'Prom.Anual Precs.Pub. 2002'!O60</f>
        <v>12.78641509433962</v>
      </c>
      <c r="E25" s="109">
        <v>20.41</v>
      </c>
      <c r="F25" s="109">
        <f>'Prom.Precios Anual Combust 2004'!S59</f>
        <v>32.19173076923077</v>
      </c>
      <c r="G25" s="109">
        <f>'[1]Año 2005'!S58</f>
        <v>34.34826923076923</v>
      </c>
      <c r="H25" s="109">
        <f>'[1]Año 2006'!S58</f>
        <v>42.23365384615384</v>
      </c>
      <c r="I25" s="109">
        <f>'[1]Año 2007'!S58</f>
        <v>44.613076923076925</v>
      </c>
      <c r="J25" s="109">
        <f>'Prom.precio anual 2008'!S60</f>
        <v>65.2641509433962</v>
      </c>
      <c r="K25" s="109">
        <f>'Prom.Anual precios pub. 2009'!R60</f>
        <v>57.692884615384635</v>
      </c>
      <c r="L25" s="109">
        <f>'Prom.Anual Precs.Public.2010'!S59</f>
        <v>68.97711538461539</v>
      </c>
      <c r="M25" s="109">
        <f>'Prom. Anual Publico 2011'!S59</f>
        <v>93.86038461538462</v>
      </c>
      <c r="N25" s="109">
        <f>'Prom.Anual Precios al Pub.2012'!T60</f>
        <v>101.48792452830193</v>
      </c>
      <c r="O25" s="109">
        <v>101.42</v>
      </c>
      <c r="P25" s="109">
        <v>97.67</v>
      </c>
      <c r="Q25" s="109">
        <v>54.53</v>
      </c>
      <c r="R25" s="109">
        <f>'Prom.Anual al Pub. 2016'!Q58</f>
        <v>45.39749999999999</v>
      </c>
      <c r="S25" s="109">
        <f>'Prom. Anual al Pub. 2017'!Q58</f>
        <v>90.4863461538462</v>
      </c>
      <c r="T25" s="109">
        <f>'Prom. Anual al Pub. 2018'!Q58</f>
        <v>110.49500000000003</v>
      </c>
      <c r="U25" s="109">
        <f t="shared" si="1"/>
        <v>57.36528492857689</v>
      </c>
    </row>
    <row r="26" spans="1:21" ht="12.75">
      <c r="A26" s="32" t="str">
        <f>'[1]Año 2004'!U5</f>
        <v>GLP - SUBSIDIADO</v>
      </c>
      <c r="B26" s="109">
        <v>0</v>
      </c>
      <c r="C26" s="109">
        <v>0</v>
      </c>
      <c r="D26" s="109">
        <v>0</v>
      </c>
      <c r="E26" s="109">
        <f>'Prom.Anual Precs.Pub. 2003'!T59</f>
        <v>23.926</v>
      </c>
      <c r="F26" s="109">
        <f>'Prom.Precios Anual Combust 2004'!T59</f>
        <v>25</v>
      </c>
      <c r="G26" s="109">
        <f>'[1]Año 2005'!T58</f>
        <v>30.69384615384616</v>
      </c>
      <c r="H26" s="109">
        <f>'[1]Año 2006'!T58</f>
        <v>43.34096153846153</v>
      </c>
      <c r="I26" s="109">
        <f>'[1]Año 2007'!T58</f>
        <v>51.066923076923054</v>
      </c>
      <c r="J26" s="109">
        <f>'Prom.precio anual 2008'!T60</f>
        <v>63.69375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f>AVERAGE(E26:J26)</f>
        <v>39.62024679487179</v>
      </c>
    </row>
    <row r="27" spans="1:21" ht="12.75">
      <c r="A27" s="32" t="str">
        <f>'[1]Año 2004'!V5</f>
        <v>GLP - NO-SUBSIDIADO</v>
      </c>
      <c r="B27" s="109">
        <v>0</v>
      </c>
      <c r="C27" s="109">
        <v>0</v>
      </c>
      <c r="D27" s="109">
        <v>0</v>
      </c>
      <c r="E27" s="109">
        <f>'Prom.Anual Precs.Pub. 2003'!U59</f>
        <v>25</v>
      </c>
      <c r="F27" s="109">
        <f>'Prom.Precios Anual Combust 2004'!U59</f>
        <v>46.59823529411765</v>
      </c>
      <c r="G27" s="109">
        <f>'[1]Año 2005'!U58</f>
        <v>52.32749999999999</v>
      </c>
      <c r="H27" s="109">
        <f>'[1]Año 2006'!U58</f>
        <v>65.15115384615385</v>
      </c>
      <c r="I27" s="109">
        <f>'[1]Año 2007'!U58</f>
        <v>72.83788461538461</v>
      </c>
      <c r="J27" s="109">
        <f>'Prom.precio anual 2008'!U60</f>
        <v>85.14325000000004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f>AVERAGE(E27:J27)</f>
        <v>57.84300395927602</v>
      </c>
    </row>
    <row r="28" spans="1:21" ht="12.75">
      <c r="A28" s="33" t="str">
        <f>'Prom.precio anual 2008'!V6</f>
        <v>GLP</v>
      </c>
      <c r="B28" s="109">
        <f>'Prom.Precs.Anual Pub. 2000'!P10</f>
        <v>0</v>
      </c>
      <c r="C28" s="109">
        <f>'Prom.Precs.Anual Combusts.2001'!P59</f>
        <v>12.611818181818181</v>
      </c>
      <c r="D28" s="109">
        <f>'Prom.Anual Precs.Pub. 2002'!P60</f>
        <v>16.346603773584906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f>'Prom.precio anual 2008'!V60</f>
        <v>59.99846153846155</v>
      </c>
      <c r="K28" s="109">
        <f>'Prom.Anual precios pub. 2009'!T60</f>
        <v>61.55019230769232</v>
      </c>
      <c r="L28" s="109">
        <f>'Prom.Anual Precs.Public.2010'!T59</f>
        <v>79.1009615384615</v>
      </c>
      <c r="M28" s="109">
        <f>'Prom. Anual Publico 2011'!T59</f>
        <v>100.81365384615388</v>
      </c>
      <c r="N28" s="109">
        <f>'Prom.Anual Precios al Pub.2012'!U60</f>
        <v>96.84509433962265</v>
      </c>
      <c r="O28" s="109">
        <v>100.8</v>
      </c>
      <c r="P28" s="109">
        <v>110.2</v>
      </c>
      <c r="Q28" s="109">
        <v>83.05</v>
      </c>
      <c r="R28" s="109">
        <f>'Prom.Anual al Pub. 2016'!R58</f>
        <v>88.30576923076924</v>
      </c>
      <c r="S28" s="109">
        <f>'Prom. Anual al Pub. 2017'!R58</f>
        <v>106.51153846153852</v>
      </c>
      <c r="T28" s="109">
        <f>'Prom. Anual al Pub. 2018'!R58</f>
        <v>117.88000000000008</v>
      </c>
      <c r="U28" s="109">
        <f>AVERAGE(B28:T28)</f>
        <v>54.42179437990014</v>
      </c>
    </row>
    <row r="30" ht="12.75">
      <c r="A30" s="72" t="s">
        <v>639</v>
      </c>
    </row>
    <row r="31" ht="12.75">
      <c r="A31" s="70" t="s">
        <v>643</v>
      </c>
    </row>
    <row r="32" ht="12.75">
      <c r="A32" s="70" t="s">
        <v>663</v>
      </c>
    </row>
    <row r="33" ht="12.75">
      <c r="A33" s="70" t="s">
        <v>647</v>
      </c>
    </row>
    <row r="34" ht="12.75">
      <c r="A34" s="70" t="s">
        <v>644</v>
      </c>
    </row>
    <row r="35" spans="1:5" ht="12.75">
      <c r="A35" s="70" t="s">
        <v>645</v>
      </c>
      <c r="B35" s="20"/>
      <c r="C35" s="20"/>
      <c r="D35" s="20"/>
      <c r="E35" s="20"/>
    </row>
    <row r="36" spans="1:5" ht="12.75">
      <c r="A36" s="70" t="s">
        <v>635</v>
      </c>
      <c r="B36" s="20"/>
      <c r="C36" s="20"/>
      <c r="D36" s="20"/>
      <c r="E36" s="20"/>
    </row>
    <row r="37" spans="1:5" ht="12.75">
      <c r="A37" s="70" t="s">
        <v>636</v>
      </c>
      <c r="B37" s="20"/>
      <c r="C37" s="20"/>
      <c r="D37" s="20"/>
      <c r="E37" s="20"/>
    </row>
    <row r="38" spans="1:5" ht="12.75">
      <c r="A38" s="71" t="s">
        <v>681</v>
      </c>
      <c r="B38" s="21"/>
      <c r="C38" s="21"/>
      <c r="D38" s="21"/>
      <c r="E38" s="21"/>
    </row>
    <row r="39" spans="1:5" ht="12.75">
      <c r="A39" s="71" t="s">
        <v>646</v>
      </c>
      <c r="B39" s="21"/>
      <c r="C39" s="21"/>
      <c r="D39" s="21"/>
      <c r="E39" s="21"/>
    </row>
    <row r="40" spans="1:5" ht="12.75">
      <c r="A40" s="71" t="s">
        <v>637</v>
      </c>
      <c r="B40" s="21"/>
      <c r="C40" s="21"/>
      <c r="D40" s="21"/>
      <c r="E40" s="21"/>
    </row>
    <row r="41" spans="1:5" ht="12.75">
      <c r="A41" s="71" t="s">
        <v>638</v>
      </c>
      <c r="B41" s="21"/>
      <c r="C41" s="21"/>
      <c r="D41" s="21"/>
      <c r="E41" s="21"/>
    </row>
    <row r="42" ht="12.75">
      <c r="A42" s="71" t="s">
        <v>920</v>
      </c>
    </row>
    <row r="43" ht="12.75">
      <c r="A43" s="106" t="s">
        <v>921</v>
      </c>
    </row>
    <row r="44" ht="12.75">
      <c r="A44" s="71"/>
    </row>
    <row r="46" ht="12.75">
      <c r="A46" s="71" t="s">
        <v>953</v>
      </c>
    </row>
    <row r="47" ht="12.75">
      <c r="A47" s="91" t="s">
        <v>952</v>
      </c>
    </row>
  </sheetData>
  <sheetProtection/>
  <mergeCells count="6">
    <mergeCell ref="A1:U1"/>
    <mergeCell ref="A3:U3"/>
    <mergeCell ref="A4:U4"/>
    <mergeCell ref="A5:U5"/>
    <mergeCell ref="A2:U2"/>
    <mergeCell ref="B6:T6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9.140625" defaultRowHeight="12.75"/>
  <cols>
    <col min="1" max="1" width="3.00390625" style="1" bestFit="1" customWidth="1"/>
    <col min="2" max="2" width="30.7109375" style="0" customWidth="1"/>
    <col min="3" max="4" width="9.00390625" style="0" bestFit="1" customWidth="1"/>
    <col min="5" max="5" width="8.140625" style="0" bestFit="1" customWidth="1"/>
    <col min="6" max="6" width="8.421875" style="0" customWidth="1"/>
    <col min="7" max="7" width="8.140625" style="0" customWidth="1"/>
    <col min="8" max="8" width="9.421875" style="0" customWidth="1"/>
    <col min="9" max="9" width="8.140625" style="0" bestFit="1" customWidth="1"/>
    <col min="10" max="10" width="8.421875" style="0" customWidth="1"/>
    <col min="11" max="11" width="5.7109375" style="0" bestFit="1" customWidth="1"/>
    <col min="12" max="12" width="6.7109375" style="0" bestFit="1" customWidth="1"/>
    <col min="13" max="13" width="9.140625" style="0" customWidth="1"/>
    <col min="14" max="14" width="8.421875" style="0" bestFit="1" customWidth="1"/>
    <col min="15" max="15" width="9.140625" style="0" customWidth="1"/>
    <col min="16" max="16" width="5.57421875" style="0" bestFit="1" customWidth="1"/>
  </cols>
  <sheetData>
    <row r="1" spans="1:16" ht="18">
      <c r="A1" s="131" t="s">
        <v>391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37" t="s">
        <v>954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2.75">
      <c r="A3" s="132" t="s">
        <v>703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ht="4.5" customHeight="1"/>
    <row r="5" spans="2:16" ht="12.75">
      <c r="B5" s="14" t="s">
        <v>519</v>
      </c>
      <c r="C5" s="133" t="s">
        <v>633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45">
      <c r="B6" s="15" t="s">
        <v>919</v>
      </c>
      <c r="C6" s="37" t="s">
        <v>0</v>
      </c>
      <c r="D6" s="68" t="s">
        <v>1</v>
      </c>
      <c r="E6" s="37" t="s">
        <v>2</v>
      </c>
      <c r="F6" s="6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62" t="s">
        <v>10</v>
      </c>
      <c r="L6" s="37" t="s">
        <v>19</v>
      </c>
      <c r="M6" s="37" t="s">
        <v>11</v>
      </c>
      <c r="N6" s="37" t="s">
        <v>14</v>
      </c>
      <c r="O6" s="37" t="s">
        <v>15</v>
      </c>
      <c r="P6" s="37" t="s">
        <v>75</v>
      </c>
    </row>
    <row r="7" spans="1:19" ht="12.75">
      <c r="A7" s="1">
        <v>1</v>
      </c>
      <c r="B7" s="63" t="s">
        <v>560</v>
      </c>
      <c r="C7" s="56">
        <v>37.38</v>
      </c>
      <c r="D7" s="54">
        <v>32.43</v>
      </c>
      <c r="E7" s="56">
        <v>19.93</v>
      </c>
      <c r="F7" s="54">
        <v>12</v>
      </c>
      <c r="G7" s="56">
        <v>11.25</v>
      </c>
      <c r="H7" s="54">
        <v>22.03</v>
      </c>
      <c r="I7" s="56">
        <v>18.86</v>
      </c>
      <c r="J7" s="54">
        <v>18.11</v>
      </c>
      <c r="K7" s="56">
        <v>16.42</v>
      </c>
      <c r="L7" s="56">
        <v>20.22</v>
      </c>
      <c r="M7" s="54">
        <v>13.99</v>
      </c>
      <c r="N7" s="56">
        <v>8.47</v>
      </c>
      <c r="O7" s="56">
        <v>7.72</v>
      </c>
      <c r="P7" s="56">
        <v>13.7</v>
      </c>
      <c r="S7" s="136"/>
    </row>
    <row r="8" spans="1:19" ht="12.75">
      <c r="A8" s="1">
        <f>A7+1</f>
        <v>2</v>
      </c>
      <c r="B8" s="64" t="s">
        <v>561</v>
      </c>
      <c r="C8" s="57">
        <v>37.82</v>
      </c>
      <c r="D8" s="53">
        <v>32.48</v>
      </c>
      <c r="E8" s="57">
        <v>19.55</v>
      </c>
      <c r="F8" s="53">
        <v>11.62</v>
      </c>
      <c r="G8" s="57">
        <v>10.87</v>
      </c>
      <c r="H8" s="53">
        <v>21.65</v>
      </c>
      <c r="I8" s="57">
        <v>18.48</v>
      </c>
      <c r="J8" s="53">
        <v>17.73</v>
      </c>
      <c r="K8" s="57">
        <v>16.1</v>
      </c>
      <c r="L8" s="57">
        <v>19.9</v>
      </c>
      <c r="M8" s="53">
        <v>14.19</v>
      </c>
      <c r="N8" s="57">
        <v>8.67</v>
      </c>
      <c r="O8" s="57">
        <v>7.92</v>
      </c>
      <c r="P8" s="57">
        <v>13.74</v>
      </c>
      <c r="S8" s="136"/>
    </row>
    <row r="9" spans="1:19" ht="12.75">
      <c r="A9" s="1">
        <f aca="true" t="shared" si="0" ref="A9:A59">A8+1</f>
        <v>3</v>
      </c>
      <c r="B9" s="65" t="s">
        <v>562</v>
      </c>
      <c r="C9" s="58">
        <v>37</v>
      </c>
      <c r="D9" s="52">
        <v>31.71</v>
      </c>
      <c r="E9" s="58">
        <v>18.87</v>
      </c>
      <c r="F9" s="52">
        <v>10.93</v>
      </c>
      <c r="G9" s="58">
        <v>10.18</v>
      </c>
      <c r="H9" s="52">
        <v>20.96</v>
      </c>
      <c r="I9" s="58">
        <v>17.8</v>
      </c>
      <c r="J9" s="52">
        <v>17.05</v>
      </c>
      <c r="K9" s="58">
        <v>15.46</v>
      </c>
      <c r="L9" s="58">
        <v>19.26</v>
      </c>
      <c r="M9" s="52">
        <v>14.13</v>
      </c>
      <c r="N9" s="58">
        <v>8.6</v>
      </c>
      <c r="O9" s="58">
        <v>7.85</v>
      </c>
      <c r="P9" s="58">
        <v>13.31</v>
      </c>
      <c r="S9" s="136"/>
    </row>
    <row r="10" spans="1:19" ht="12.75">
      <c r="A10" s="1">
        <f t="shared" si="0"/>
        <v>4</v>
      </c>
      <c r="B10" s="64" t="s">
        <v>563</v>
      </c>
      <c r="C10" s="57">
        <v>36.78</v>
      </c>
      <c r="D10" s="53">
        <v>31.43</v>
      </c>
      <c r="E10" s="57">
        <v>18.79</v>
      </c>
      <c r="F10" s="53">
        <v>10.86</v>
      </c>
      <c r="G10" s="57">
        <v>10.11</v>
      </c>
      <c r="H10" s="53">
        <v>20.89</v>
      </c>
      <c r="I10" s="57">
        <v>17.72</v>
      </c>
      <c r="J10" s="53">
        <v>16.97</v>
      </c>
      <c r="K10" s="57">
        <v>15.49</v>
      </c>
      <c r="L10" s="57">
        <v>19.29</v>
      </c>
      <c r="M10" s="53">
        <v>13.86</v>
      </c>
      <c r="N10" s="57">
        <v>8.34</v>
      </c>
      <c r="O10" s="57">
        <v>7.59</v>
      </c>
      <c r="P10" s="57">
        <v>13</v>
      </c>
      <c r="S10" s="136"/>
    </row>
    <row r="11" spans="1:19" ht="12.75">
      <c r="A11" s="1">
        <f t="shared" si="0"/>
        <v>5</v>
      </c>
      <c r="B11" s="65" t="s">
        <v>564</v>
      </c>
      <c r="C11" s="58">
        <v>36.98</v>
      </c>
      <c r="D11" s="52">
        <v>31.52</v>
      </c>
      <c r="E11" s="58">
        <v>18.79</v>
      </c>
      <c r="F11" s="52">
        <v>10.86</v>
      </c>
      <c r="G11" s="58">
        <v>10.11</v>
      </c>
      <c r="H11" s="52">
        <v>20.89</v>
      </c>
      <c r="I11" s="58">
        <v>17.72</v>
      </c>
      <c r="J11" s="52">
        <v>16.97</v>
      </c>
      <c r="K11" s="58">
        <v>15.53</v>
      </c>
      <c r="L11" s="58">
        <v>19.33</v>
      </c>
      <c r="M11" s="52">
        <v>13.86</v>
      </c>
      <c r="N11" s="58">
        <v>8.34</v>
      </c>
      <c r="O11" s="58">
        <v>7.59</v>
      </c>
      <c r="P11" s="57">
        <v>13.32</v>
      </c>
      <c r="S11" s="136"/>
    </row>
    <row r="12" spans="1:19" ht="12.75">
      <c r="A12" s="1">
        <f t="shared" si="0"/>
        <v>6</v>
      </c>
      <c r="B12" s="64" t="s">
        <v>565</v>
      </c>
      <c r="C12" s="57">
        <v>36.6</v>
      </c>
      <c r="D12" s="53">
        <v>31.29</v>
      </c>
      <c r="E12" s="57">
        <v>18.48</v>
      </c>
      <c r="F12" s="53">
        <v>10.54</v>
      </c>
      <c r="G12" s="57">
        <v>9.79</v>
      </c>
      <c r="H12" s="53">
        <v>20.58</v>
      </c>
      <c r="I12" s="57">
        <v>17.42</v>
      </c>
      <c r="J12" s="53">
        <v>16.67</v>
      </c>
      <c r="K12" s="57">
        <v>15.47</v>
      </c>
      <c r="L12" s="57">
        <v>19.27</v>
      </c>
      <c r="M12" s="53">
        <v>13.73</v>
      </c>
      <c r="N12" s="57">
        <v>8.2</v>
      </c>
      <c r="O12" s="57">
        <v>7.45</v>
      </c>
      <c r="P12" s="57">
        <v>13.23</v>
      </c>
      <c r="S12" s="136"/>
    </row>
    <row r="13" spans="1:19" ht="12.75">
      <c r="A13" s="1">
        <f t="shared" si="0"/>
        <v>7</v>
      </c>
      <c r="B13" s="65" t="s">
        <v>566</v>
      </c>
      <c r="C13" s="58">
        <v>36.84</v>
      </c>
      <c r="D13" s="52">
        <v>31.65</v>
      </c>
      <c r="E13" s="58">
        <v>18.94</v>
      </c>
      <c r="F13" s="52">
        <v>11.01</v>
      </c>
      <c r="G13" s="58">
        <v>10.26</v>
      </c>
      <c r="H13" s="52">
        <v>21.05</v>
      </c>
      <c r="I13" s="58">
        <v>17.88</v>
      </c>
      <c r="J13" s="52">
        <v>17.13</v>
      </c>
      <c r="K13" s="58">
        <v>15.89</v>
      </c>
      <c r="L13" s="58">
        <v>19.69</v>
      </c>
      <c r="M13" s="52">
        <v>13.8</v>
      </c>
      <c r="N13" s="58">
        <v>8.28</v>
      </c>
      <c r="O13" s="58">
        <v>7.53</v>
      </c>
      <c r="P13" s="57">
        <v>13.15</v>
      </c>
      <c r="S13" s="136"/>
    </row>
    <row r="14" spans="1:19" ht="12.75">
      <c r="A14" s="1">
        <f t="shared" si="0"/>
        <v>8</v>
      </c>
      <c r="B14" s="64" t="s">
        <v>567</v>
      </c>
      <c r="C14" s="57">
        <v>37.43</v>
      </c>
      <c r="D14" s="53">
        <v>32.22</v>
      </c>
      <c r="E14" s="57">
        <v>19.4</v>
      </c>
      <c r="F14" s="53">
        <v>11.47</v>
      </c>
      <c r="G14" s="57">
        <v>10.72</v>
      </c>
      <c r="H14" s="53">
        <v>21.51</v>
      </c>
      <c r="I14" s="57">
        <v>18.34</v>
      </c>
      <c r="J14" s="53">
        <v>17.59</v>
      </c>
      <c r="K14" s="57">
        <v>16.33</v>
      </c>
      <c r="L14" s="57">
        <v>20.13</v>
      </c>
      <c r="M14" s="53">
        <v>14.44</v>
      </c>
      <c r="N14" s="57">
        <v>8.92</v>
      </c>
      <c r="O14" s="57">
        <v>8.17</v>
      </c>
      <c r="P14" s="57">
        <v>13.97</v>
      </c>
      <c r="S14" s="136"/>
    </row>
    <row r="15" spans="1:19" ht="12.75">
      <c r="A15" s="1">
        <f t="shared" si="0"/>
        <v>9</v>
      </c>
      <c r="B15" s="65" t="s">
        <v>568</v>
      </c>
      <c r="C15" s="58">
        <v>37.16</v>
      </c>
      <c r="D15" s="52">
        <v>31.82</v>
      </c>
      <c r="E15" s="58">
        <v>19.02</v>
      </c>
      <c r="F15" s="52">
        <v>11.08</v>
      </c>
      <c r="G15" s="58">
        <v>10.33</v>
      </c>
      <c r="H15" s="52">
        <v>21.12</v>
      </c>
      <c r="I15" s="58">
        <v>17.96</v>
      </c>
      <c r="J15" s="52">
        <v>17.21</v>
      </c>
      <c r="K15" s="58">
        <v>15.86</v>
      </c>
      <c r="L15" s="58">
        <v>19.66</v>
      </c>
      <c r="M15" s="52">
        <v>14.25</v>
      </c>
      <c r="N15" s="58">
        <v>8.72</v>
      </c>
      <c r="O15" s="58">
        <v>7.97</v>
      </c>
      <c r="P15" s="57">
        <v>13.92</v>
      </c>
      <c r="S15" s="136"/>
    </row>
    <row r="16" spans="1:19" ht="12.75">
      <c r="A16" s="1">
        <f t="shared" si="0"/>
        <v>10</v>
      </c>
      <c r="B16" s="64" t="s">
        <v>569</v>
      </c>
      <c r="C16" s="57">
        <v>37.64</v>
      </c>
      <c r="D16" s="53">
        <v>32.3</v>
      </c>
      <c r="E16" s="57">
        <v>19.37</v>
      </c>
      <c r="F16" s="53">
        <v>11.43</v>
      </c>
      <c r="G16" s="57">
        <v>10.68</v>
      </c>
      <c r="H16" s="53">
        <v>21.46</v>
      </c>
      <c r="I16" s="57">
        <v>18.3</v>
      </c>
      <c r="J16" s="53">
        <v>17.55</v>
      </c>
      <c r="K16" s="57">
        <v>16.25</v>
      </c>
      <c r="L16" s="57">
        <v>20.05</v>
      </c>
      <c r="M16" s="53">
        <v>14.78</v>
      </c>
      <c r="N16" s="57">
        <v>9.26</v>
      </c>
      <c r="O16" s="57">
        <v>8.51</v>
      </c>
      <c r="P16" s="57">
        <v>14.11</v>
      </c>
      <c r="S16" s="136"/>
    </row>
    <row r="17" spans="1:19" ht="12.75">
      <c r="A17" s="1">
        <f t="shared" si="0"/>
        <v>11</v>
      </c>
      <c r="B17" s="65" t="s">
        <v>570</v>
      </c>
      <c r="C17" s="58">
        <v>39.7</v>
      </c>
      <c r="D17" s="52">
        <v>34.25</v>
      </c>
      <c r="E17" s="58">
        <v>20.17</v>
      </c>
      <c r="F17" s="52">
        <v>12.24</v>
      </c>
      <c r="G17" s="58">
        <v>11.49</v>
      </c>
      <c r="H17" s="52">
        <v>22.27</v>
      </c>
      <c r="I17" s="58">
        <v>19.11</v>
      </c>
      <c r="J17" s="52">
        <v>18.36</v>
      </c>
      <c r="K17" s="58">
        <v>16.79</v>
      </c>
      <c r="L17" s="58">
        <v>20.59</v>
      </c>
      <c r="M17" s="52">
        <v>15.4</v>
      </c>
      <c r="N17" s="58">
        <v>9.88</v>
      </c>
      <c r="O17" s="58">
        <v>9.13</v>
      </c>
      <c r="P17" s="57">
        <v>14.74</v>
      </c>
      <c r="S17" s="136"/>
    </row>
    <row r="18" spans="1:19" ht="12.75">
      <c r="A18" s="1">
        <f t="shared" si="0"/>
        <v>12</v>
      </c>
      <c r="B18" s="64" t="s">
        <v>571</v>
      </c>
      <c r="C18" s="57">
        <v>40.65</v>
      </c>
      <c r="D18" s="53">
        <v>35.09</v>
      </c>
      <c r="E18" s="57">
        <v>20.82</v>
      </c>
      <c r="F18" s="53">
        <v>12.88</v>
      </c>
      <c r="G18" s="57">
        <v>12.13</v>
      </c>
      <c r="H18" s="53">
        <v>22.91</v>
      </c>
      <c r="I18" s="57">
        <v>19.75</v>
      </c>
      <c r="J18" s="53">
        <v>19</v>
      </c>
      <c r="K18" s="57">
        <v>17.46</v>
      </c>
      <c r="L18" s="57">
        <v>21.26</v>
      </c>
      <c r="M18" s="53">
        <v>15.85</v>
      </c>
      <c r="N18" s="57">
        <v>10.33</v>
      </c>
      <c r="O18" s="57">
        <v>9.58</v>
      </c>
      <c r="P18" s="57">
        <v>15.11</v>
      </c>
      <c r="S18" s="136"/>
    </row>
    <row r="19" spans="1:19" ht="12.75">
      <c r="A19" s="1">
        <f t="shared" si="0"/>
        <v>13</v>
      </c>
      <c r="B19" s="65" t="s">
        <v>572</v>
      </c>
      <c r="C19" s="58">
        <v>41.5</v>
      </c>
      <c r="D19" s="52">
        <v>35.75</v>
      </c>
      <c r="E19" s="58">
        <v>21.16</v>
      </c>
      <c r="F19" s="52">
        <v>13.23</v>
      </c>
      <c r="G19" s="58">
        <v>12.48</v>
      </c>
      <c r="H19" s="52">
        <v>23.26</v>
      </c>
      <c r="I19" s="58">
        <v>20.1</v>
      </c>
      <c r="J19" s="52">
        <v>19.35</v>
      </c>
      <c r="K19" s="58">
        <v>17.75</v>
      </c>
      <c r="L19" s="58">
        <v>21.55</v>
      </c>
      <c r="M19" s="52">
        <v>16.34</v>
      </c>
      <c r="N19" s="58">
        <v>10.81</v>
      </c>
      <c r="O19" s="58">
        <v>10.06</v>
      </c>
      <c r="P19" s="57">
        <v>15.36</v>
      </c>
      <c r="S19" s="136"/>
    </row>
    <row r="20" spans="1:19" ht="12.75">
      <c r="A20" s="1">
        <f t="shared" si="0"/>
        <v>14</v>
      </c>
      <c r="B20" s="64" t="s">
        <v>573</v>
      </c>
      <c r="C20" s="57">
        <v>41.17</v>
      </c>
      <c r="D20" s="53">
        <v>35.71</v>
      </c>
      <c r="E20" s="57">
        <v>21.07</v>
      </c>
      <c r="F20" s="53">
        <v>13.13</v>
      </c>
      <c r="G20" s="57">
        <v>12.38</v>
      </c>
      <c r="H20" s="53">
        <v>23.16</v>
      </c>
      <c r="I20" s="57">
        <v>20</v>
      </c>
      <c r="J20" s="53">
        <v>19.25</v>
      </c>
      <c r="K20" s="57">
        <v>17.74</v>
      </c>
      <c r="L20" s="57">
        <v>21.54</v>
      </c>
      <c r="M20" s="53">
        <v>16.17</v>
      </c>
      <c r="N20" s="57">
        <v>10.65</v>
      </c>
      <c r="O20" s="57">
        <v>9.9</v>
      </c>
      <c r="P20" s="57">
        <v>15.4</v>
      </c>
      <c r="S20" s="136"/>
    </row>
    <row r="21" spans="1:19" ht="12.75">
      <c r="A21" s="1">
        <f t="shared" si="0"/>
        <v>15</v>
      </c>
      <c r="B21" s="65" t="s">
        <v>574</v>
      </c>
      <c r="C21" s="58">
        <v>42.3</v>
      </c>
      <c r="D21" s="52">
        <v>36.71</v>
      </c>
      <c r="E21" s="58">
        <v>22.38</v>
      </c>
      <c r="F21" s="52">
        <v>14.45</v>
      </c>
      <c r="G21" s="58">
        <v>13.7</v>
      </c>
      <c r="H21" s="52">
        <v>24.48</v>
      </c>
      <c r="I21" s="58">
        <v>21.31</v>
      </c>
      <c r="J21" s="52">
        <v>20.56</v>
      </c>
      <c r="K21" s="58">
        <v>19.11</v>
      </c>
      <c r="L21" s="58">
        <v>22.91</v>
      </c>
      <c r="M21" s="52">
        <v>17.43</v>
      </c>
      <c r="N21" s="58">
        <v>11.9</v>
      </c>
      <c r="O21" s="58">
        <v>11.15</v>
      </c>
      <c r="P21" s="57">
        <v>16.29</v>
      </c>
      <c r="S21" s="136"/>
    </row>
    <row r="22" spans="1:19" ht="12.75">
      <c r="A22" s="1">
        <f t="shared" si="0"/>
        <v>16</v>
      </c>
      <c r="B22" s="64" t="s">
        <v>575</v>
      </c>
      <c r="C22" s="57">
        <v>42.16</v>
      </c>
      <c r="D22" s="53">
        <v>36.8</v>
      </c>
      <c r="E22" s="57">
        <v>21.97</v>
      </c>
      <c r="F22" s="53">
        <v>14.04</v>
      </c>
      <c r="G22" s="57">
        <v>13.29</v>
      </c>
      <c r="H22" s="53">
        <v>24.07</v>
      </c>
      <c r="I22" s="57">
        <v>20.91</v>
      </c>
      <c r="J22" s="53">
        <v>20.16</v>
      </c>
      <c r="K22" s="57">
        <v>18.66</v>
      </c>
      <c r="L22" s="57">
        <v>22.46</v>
      </c>
      <c r="M22" s="53">
        <v>17.37</v>
      </c>
      <c r="N22" s="57">
        <v>11.85</v>
      </c>
      <c r="O22" s="57">
        <v>11.1</v>
      </c>
      <c r="P22" s="57">
        <v>15.81</v>
      </c>
      <c r="S22" s="136"/>
    </row>
    <row r="23" spans="1:19" ht="12.75">
      <c r="A23" s="1">
        <f t="shared" si="0"/>
        <v>17</v>
      </c>
      <c r="B23" s="65" t="s">
        <v>576</v>
      </c>
      <c r="C23" s="58">
        <v>41.5</v>
      </c>
      <c r="D23" s="52">
        <v>36.42</v>
      </c>
      <c r="E23" s="58">
        <v>21.22</v>
      </c>
      <c r="F23" s="52">
        <v>13.28</v>
      </c>
      <c r="G23" s="58">
        <v>12.53</v>
      </c>
      <c r="H23" s="52">
        <v>23.32</v>
      </c>
      <c r="I23" s="58">
        <v>20.15</v>
      </c>
      <c r="J23" s="52">
        <v>19.4</v>
      </c>
      <c r="K23" s="58">
        <v>17.99</v>
      </c>
      <c r="L23" s="58">
        <v>21.79</v>
      </c>
      <c r="M23" s="52">
        <v>16.67</v>
      </c>
      <c r="N23" s="58">
        <v>11.15</v>
      </c>
      <c r="O23" s="58">
        <v>10.4</v>
      </c>
      <c r="P23" s="57">
        <v>15.66</v>
      </c>
      <c r="S23" s="136"/>
    </row>
    <row r="24" spans="1:19" ht="12.75">
      <c r="A24" s="1">
        <f t="shared" si="0"/>
        <v>18</v>
      </c>
      <c r="B24" s="64" t="s">
        <v>577</v>
      </c>
      <c r="C24" s="57">
        <v>41.13</v>
      </c>
      <c r="D24" s="53">
        <v>35.65</v>
      </c>
      <c r="E24" s="57">
        <v>21.64</v>
      </c>
      <c r="F24" s="53">
        <v>13.7</v>
      </c>
      <c r="G24" s="57">
        <v>12.95</v>
      </c>
      <c r="H24" s="53">
        <v>23.74</v>
      </c>
      <c r="I24" s="57">
        <v>20.57</v>
      </c>
      <c r="J24" s="53">
        <v>19.82</v>
      </c>
      <c r="K24" s="57">
        <v>18.48</v>
      </c>
      <c r="L24" s="57">
        <v>22.28</v>
      </c>
      <c r="M24" s="53">
        <v>16.94</v>
      </c>
      <c r="N24" s="57">
        <v>11.42</v>
      </c>
      <c r="O24" s="57">
        <v>10.67</v>
      </c>
      <c r="P24" s="57">
        <v>15.87</v>
      </c>
      <c r="S24" s="136"/>
    </row>
    <row r="25" spans="1:19" ht="12.75">
      <c r="A25" s="1">
        <f t="shared" si="0"/>
        <v>19</v>
      </c>
      <c r="B25" s="65" t="s">
        <v>578</v>
      </c>
      <c r="C25" s="58">
        <v>41.56</v>
      </c>
      <c r="D25" s="52">
        <v>36.1</v>
      </c>
      <c r="E25" s="58">
        <v>21.81</v>
      </c>
      <c r="F25" s="52">
        <v>13.88</v>
      </c>
      <c r="G25" s="58">
        <v>13.13</v>
      </c>
      <c r="H25" s="52">
        <v>23.91</v>
      </c>
      <c r="I25" s="58">
        <v>20.75</v>
      </c>
      <c r="J25" s="52">
        <v>20</v>
      </c>
      <c r="K25" s="58">
        <v>18.6</v>
      </c>
      <c r="L25" s="58">
        <v>22.4</v>
      </c>
      <c r="M25" s="52">
        <v>17.17</v>
      </c>
      <c r="N25" s="58">
        <v>11.64</v>
      </c>
      <c r="O25" s="58">
        <v>10.89</v>
      </c>
      <c r="P25" s="57">
        <v>15.98</v>
      </c>
      <c r="S25" s="136"/>
    </row>
    <row r="26" spans="1:19" ht="12.75">
      <c r="A26" s="1">
        <f t="shared" si="0"/>
        <v>20</v>
      </c>
      <c r="B26" s="64" t="s">
        <v>579</v>
      </c>
      <c r="C26" s="57">
        <v>40.9</v>
      </c>
      <c r="D26" s="53">
        <v>35.44</v>
      </c>
      <c r="E26" s="57">
        <v>21.5</v>
      </c>
      <c r="F26" s="53">
        <v>13.57</v>
      </c>
      <c r="G26" s="57">
        <v>12.82</v>
      </c>
      <c r="H26" s="53">
        <v>23.6</v>
      </c>
      <c r="I26" s="57">
        <v>20.44</v>
      </c>
      <c r="J26" s="53">
        <v>19.69</v>
      </c>
      <c r="K26" s="57">
        <v>18.18</v>
      </c>
      <c r="L26" s="57">
        <v>21.98</v>
      </c>
      <c r="M26" s="53">
        <v>16.88</v>
      </c>
      <c r="N26" s="57">
        <v>11.36</v>
      </c>
      <c r="O26" s="57">
        <v>10.61</v>
      </c>
      <c r="P26" s="57">
        <v>15.98</v>
      </c>
      <c r="S26" s="136"/>
    </row>
    <row r="27" spans="1:19" ht="12.75">
      <c r="A27" s="1">
        <f t="shared" si="0"/>
        <v>21</v>
      </c>
      <c r="B27" s="65" t="s">
        <v>527</v>
      </c>
      <c r="C27" s="58">
        <v>41.02</v>
      </c>
      <c r="D27" s="52">
        <v>35.57</v>
      </c>
      <c r="E27" s="58">
        <v>21.84</v>
      </c>
      <c r="F27" s="52">
        <v>13.91</v>
      </c>
      <c r="G27" s="58">
        <v>13.16</v>
      </c>
      <c r="H27" s="52">
        <v>23.95</v>
      </c>
      <c r="I27" s="58">
        <v>20.78</v>
      </c>
      <c r="J27" s="52">
        <v>20.03</v>
      </c>
      <c r="K27" s="58">
        <v>18.62</v>
      </c>
      <c r="L27" s="58">
        <v>22.42</v>
      </c>
      <c r="M27" s="52">
        <v>17.52</v>
      </c>
      <c r="N27" s="58">
        <v>12</v>
      </c>
      <c r="O27" s="58">
        <v>11.25</v>
      </c>
      <c r="P27" s="57">
        <v>16.03</v>
      </c>
      <c r="S27" s="136"/>
    </row>
    <row r="28" spans="1:19" ht="12.75">
      <c r="A28" s="1">
        <f t="shared" si="0"/>
        <v>22</v>
      </c>
      <c r="B28" s="64" t="s">
        <v>528</v>
      </c>
      <c r="C28" s="57">
        <v>41.36</v>
      </c>
      <c r="D28" s="53">
        <v>36.08</v>
      </c>
      <c r="E28" s="57">
        <v>21.68</v>
      </c>
      <c r="F28" s="53">
        <v>13.75</v>
      </c>
      <c r="G28" s="57">
        <v>13</v>
      </c>
      <c r="H28" s="53">
        <v>23.79</v>
      </c>
      <c r="I28" s="57">
        <v>20.62</v>
      </c>
      <c r="J28" s="53">
        <v>19.87</v>
      </c>
      <c r="K28" s="57">
        <v>18.67</v>
      </c>
      <c r="L28" s="57">
        <v>22.47</v>
      </c>
      <c r="M28" s="53">
        <v>17.33</v>
      </c>
      <c r="N28" s="57">
        <v>11.81</v>
      </c>
      <c r="O28" s="57">
        <v>11.06</v>
      </c>
      <c r="P28" s="57">
        <v>15.92</v>
      </c>
      <c r="S28" s="136"/>
    </row>
    <row r="29" spans="1:19" ht="12.75">
      <c r="A29" s="1">
        <f t="shared" si="0"/>
        <v>23</v>
      </c>
      <c r="B29" s="65" t="s">
        <v>529</v>
      </c>
      <c r="C29" s="58">
        <v>40.84</v>
      </c>
      <c r="D29" s="52">
        <v>35.57</v>
      </c>
      <c r="E29" s="58">
        <v>21.28</v>
      </c>
      <c r="F29" s="52">
        <v>13.35</v>
      </c>
      <c r="G29" s="58">
        <v>12.6</v>
      </c>
      <c r="H29" s="52">
        <v>23.38</v>
      </c>
      <c r="I29" s="58">
        <v>20.22</v>
      </c>
      <c r="J29" s="52">
        <v>19.47</v>
      </c>
      <c r="K29" s="58">
        <v>18.18</v>
      </c>
      <c r="L29" s="58">
        <v>21.98</v>
      </c>
      <c r="M29" s="52">
        <v>17.38</v>
      </c>
      <c r="N29" s="58">
        <v>11.86</v>
      </c>
      <c r="O29" s="58">
        <v>11.11</v>
      </c>
      <c r="P29" s="57">
        <v>15.53</v>
      </c>
      <c r="S29" s="136"/>
    </row>
    <row r="30" spans="1:19" ht="12.75">
      <c r="A30" s="1">
        <f t="shared" si="0"/>
        <v>24</v>
      </c>
      <c r="B30" s="64" t="s">
        <v>530</v>
      </c>
      <c r="C30" s="57">
        <v>40.42</v>
      </c>
      <c r="D30" s="53">
        <v>35.22</v>
      </c>
      <c r="E30" s="57">
        <v>21.12</v>
      </c>
      <c r="F30" s="53">
        <v>13.19</v>
      </c>
      <c r="G30" s="57">
        <v>12.44</v>
      </c>
      <c r="H30" s="53">
        <v>23.22</v>
      </c>
      <c r="I30" s="57">
        <v>20.06</v>
      </c>
      <c r="J30" s="53">
        <v>19.31</v>
      </c>
      <c r="K30" s="57">
        <v>17.88</v>
      </c>
      <c r="L30" s="57">
        <v>21.68</v>
      </c>
      <c r="M30" s="53">
        <v>17.59</v>
      </c>
      <c r="N30" s="57">
        <v>12.07</v>
      </c>
      <c r="O30" s="57">
        <v>11.32</v>
      </c>
      <c r="P30" s="57">
        <v>15.25</v>
      </c>
      <c r="S30" s="136"/>
    </row>
    <row r="31" spans="1:19" ht="12.75">
      <c r="A31" s="1">
        <f t="shared" si="0"/>
        <v>25</v>
      </c>
      <c r="B31" s="65" t="s">
        <v>531</v>
      </c>
      <c r="C31" s="58">
        <v>40.21</v>
      </c>
      <c r="D31" s="52">
        <v>34.87</v>
      </c>
      <c r="E31" s="58">
        <v>20.83</v>
      </c>
      <c r="F31" s="52">
        <v>12.89</v>
      </c>
      <c r="G31" s="58">
        <v>12.14</v>
      </c>
      <c r="H31" s="52">
        <v>22.93</v>
      </c>
      <c r="I31" s="58">
        <v>19.76</v>
      </c>
      <c r="J31" s="52">
        <v>19.01</v>
      </c>
      <c r="K31" s="58">
        <v>17.73</v>
      </c>
      <c r="L31" s="58">
        <v>21.53</v>
      </c>
      <c r="M31" s="52">
        <v>17.07</v>
      </c>
      <c r="N31" s="58">
        <v>11.55</v>
      </c>
      <c r="O31" s="58">
        <v>10.8</v>
      </c>
      <c r="P31" s="57">
        <v>15.03</v>
      </c>
      <c r="S31" s="136"/>
    </row>
    <row r="32" spans="1:19" ht="12.75">
      <c r="A32" s="1">
        <f t="shared" si="0"/>
        <v>26</v>
      </c>
      <c r="B32" s="64" t="s">
        <v>532</v>
      </c>
      <c r="C32" s="57">
        <v>41.25</v>
      </c>
      <c r="D32" s="53">
        <v>35.83</v>
      </c>
      <c r="E32" s="57">
        <v>21.5</v>
      </c>
      <c r="F32" s="53">
        <v>13.56</v>
      </c>
      <c r="G32" s="57">
        <v>12.81</v>
      </c>
      <c r="H32" s="53">
        <v>23.6</v>
      </c>
      <c r="I32" s="57">
        <v>20.44</v>
      </c>
      <c r="J32" s="53">
        <v>19.69</v>
      </c>
      <c r="K32" s="57">
        <v>18.4</v>
      </c>
      <c r="L32" s="57">
        <v>22.2</v>
      </c>
      <c r="M32" s="53">
        <v>16.7</v>
      </c>
      <c r="N32" s="57">
        <v>11.17</v>
      </c>
      <c r="O32" s="57">
        <v>10.42</v>
      </c>
      <c r="P32" s="57">
        <v>15.34</v>
      </c>
      <c r="S32" s="136"/>
    </row>
    <row r="33" spans="1:19" ht="12.75">
      <c r="A33" s="1">
        <f t="shared" si="0"/>
        <v>27</v>
      </c>
      <c r="B33" s="65" t="s">
        <v>533</v>
      </c>
      <c r="C33" s="58">
        <v>41.47</v>
      </c>
      <c r="D33" s="52">
        <v>36.05</v>
      </c>
      <c r="E33" s="58">
        <v>21.58</v>
      </c>
      <c r="F33" s="52">
        <v>13.65</v>
      </c>
      <c r="G33" s="58">
        <v>12.9</v>
      </c>
      <c r="H33" s="52">
        <v>23.69</v>
      </c>
      <c r="I33" s="58">
        <v>20.52</v>
      </c>
      <c r="J33" s="52">
        <v>19.77</v>
      </c>
      <c r="K33" s="58">
        <v>18.66</v>
      </c>
      <c r="L33" s="58">
        <v>22.46</v>
      </c>
      <c r="M33" s="52">
        <v>17.2</v>
      </c>
      <c r="N33" s="58">
        <v>11.67</v>
      </c>
      <c r="O33" s="58">
        <v>10.92</v>
      </c>
      <c r="P33" s="57">
        <v>15.46</v>
      </c>
      <c r="S33" s="136"/>
    </row>
    <row r="34" spans="1:19" ht="12.75">
      <c r="A34" s="1">
        <f t="shared" si="0"/>
        <v>28</v>
      </c>
      <c r="B34" s="64" t="s">
        <v>534</v>
      </c>
      <c r="C34" s="57">
        <v>41.33</v>
      </c>
      <c r="D34" s="53">
        <v>35.94</v>
      </c>
      <c r="E34" s="57">
        <v>22.07</v>
      </c>
      <c r="F34" s="53">
        <v>14.14</v>
      </c>
      <c r="G34" s="57">
        <v>13.39</v>
      </c>
      <c r="H34" s="53">
        <v>24.17</v>
      </c>
      <c r="I34" s="57">
        <v>21.01</v>
      </c>
      <c r="J34" s="53">
        <v>20.26</v>
      </c>
      <c r="K34" s="57">
        <v>19.12</v>
      </c>
      <c r="L34" s="57">
        <v>22.92</v>
      </c>
      <c r="M34" s="53">
        <v>17.08</v>
      </c>
      <c r="N34" s="57">
        <v>11.56</v>
      </c>
      <c r="O34" s="57">
        <v>10.81</v>
      </c>
      <c r="P34" s="57">
        <v>15.28</v>
      </c>
      <c r="S34" s="136"/>
    </row>
    <row r="35" spans="1:19" ht="12.75">
      <c r="A35" s="1">
        <f t="shared" si="0"/>
        <v>29</v>
      </c>
      <c r="B35" s="65" t="s">
        <v>535</v>
      </c>
      <c r="C35" s="58">
        <v>41.02</v>
      </c>
      <c r="D35" s="52">
        <v>35.48</v>
      </c>
      <c r="E35" s="58">
        <v>21.72</v>
      </c>
      <c r="F35" s="52">
        <v>18.99</v>
      </c>
      <c r="G35" s="58">
        <v>18.24</v>
      </c>
      <c r="H35" s="52">
        <v>23.83</v>
      </c>
      <c r="I35" s="58">
        <v>20.66</v>
      </c>
      <c r="J35" s="52">
        <v>19.91</v>
      </c>
      <c r="K35" s="58">
        <v>18.68</v>
      </c>
      <c r="L35" s="58">
        <v>22.48</v>
      </c>
      <c r="M35" s="52">
        <v>16.92</v>
      </c>
      <c r="N35" s="58">
        <v>16.59</v>
      </c>
      <c r="O35" s="58">
        <v>15.84</v>
      </c>
      <c r="P35" s="57">
        <v>15.07</v>
      </c>
      <c r="S35" s="136"/>
    </row>
    <row r="36" spans="1:19" ht="12.75">
      <c r="A36" s="1">
        <f t="shared" si="0"/>
        <v>30</v>
      </c>
      <c r="B36" s="64" t="s">
        <v>536</v>
      </c>
      <c r="C36" s="57">
        <v>42.73</v>
      </c>
      <c r="D36" s="53">
        <v>37.09</v>
      </c>
      <c r="E36" s="57">
        <v>22.47</v>
      </c>
      <c r="F36" s="53">
        <v>19.74</v>
      </c>
      <c r="G36" s="57">
        <v>18.99</v>
      </c>
      <c r="H36" s="53">
        <v>24.58</v>
      </c>
      <c r="I36" s="57">
        <v>21.41</v>
      </c>
      <c r="J36" s="53">
        <v>20.66</v>
      </c>
      <c r="K36" s="57">
        <v>19.46</v>
      </c>
      <c r="L36" s="57">
        <v>23.26</v>
      </c>
      <c r="M36" s="53">
        <v>17.22</v>
      </c>
      <c r="N36" s="57">
        <v>16.89</v>
      </c>
      <c r="O36" s="57">
        <v>16.14</v>
      </c>
      <c r="P36" s="57">
        <v>15.36</v>
      </c>
      <c r="S36" s="136"/>
    </row>
    <row r="37" spans="1:19" ht="12.75">
      <c r="A37" s="1">
        <f t="shared" si="0"/>
        <v>31</v>
      </c>
      <c r="B37" s="65" t="s">
        <v>537</v>
      </c>
      <c r="C37" s="58">
        <v>41.72</v>
      </c>
      <c r="D37" s="52">
        <v>35.61</v>
      </c>
      <c r="E37" s="58">
        <v>21.52</v>
      </c>
      <c r="F37" s="52">
        <v>18.79</v>
      </c>
      <c r="G37" s="58">
        <v>18.04</v>
      </c>
      <c r="H37" s="52">
        <v>23.62</v>
      </c>
      <c r="I37" s="58">
        <v>20.46</v>
      </c>
      <c r="J37" s="52">
        <v>19.71</v>
      </c>
      <c r="K37" s="58">
        <v>18.52</v>
      </c>
      <c r="L37" s="58">
        <v>22.32</v>
      </c>
      <c r="M37" s="52">
        <v>17.42</v>
      </c>
      <c r="N37" s="58">
        <v>17.09</v>
      </c>
      <c r="O37" s="58">
        <v>16.34</v>
      </c>
      <c r="P37" s="57">
        <v>15.41</v>
      </c>
      <c r="S37" s="136"/>
    </row>
    <row r="38" spans="1:19" ht="12.75">
      <c r="A38" s="1">
        <f t="shared" si="0"/>
        <v>32</v>
      </c>
      <c r="B38" s="64" t="s">
        <v>538</v>
      </c>
      <c r="C38" s="57">
        <v>41.57</v>
      </c>
      <c r="D38" s="53">
        <v>35.66</v>
      </c>
      <c r="E38" s="57">
        <v>21.64</v>
      </c>
      <c r="F38" s="53">
        <v>18.91</v>
      </c>
      <c r="G38" s="57">
        <v>18.16</v>
      </c>
      <c r="H38" s="53">
        <v>23.74</v>
      </c>
      <c r="I38" s="57">
        <v>20.58</v>
      </c>
      <c r="J38" s="53">
        <v>19.83</v>
      </c>
      <c r="K38" s="57">
        <v>18.71</v>
      </c>
      <c r="L38" s="57">
        <v>22.51</v>
      </c>
      <c r="M38" s="53">
        <v>17.41</v>
      </c>
      <c r="N38" s="57">
        <v>17.09</v>
      </c>
      <c r="O38" s="57">
        <v>16.34</v>
      </c>
      <c r="P38" s="57">
        <v>15.76</v>
      </c>
      <c r="S38" s="136"/>
    </row>
    <row r="39" spans="1:19" ht="12.75">
      <c r="A39" s="1">
        <f t="shared" si="0"/>
        <v>33</v>
      </c>
      <c r="B39" s="65" t="s">
        <v>539</v>
      </c>
      <c r="C39" s="58">
        <v>41.56</v>
      </c>
      <c r="D39" s="52">
        <v>35.82</v>
      </c>
      <c r="E39" s="58">
        <v>21.56</v>
      </c>
      <c r="F39" s="52">
        <v>18.83</v>
      </c>
      <c r="G39" s="58">
        <v>18.08</v>
      </c>
      <c r="H39" s="52">
        <v>23.67</v>
      </c>
      <c r="I39" s="58">
        <v>20.5</v>
      </c>
      <c r="J39" s="52">
        <v>19.75</v>
      </c>
      <c r="K39" s="58">
        <v>18.69</v>
      </c>
      <c r="L39" s="58">
        <v>22.49</v>
      </c>
      <c r="M39" s="52">
        <v>17.4</v>
      </c>
      <c r="N39" s="58">
        <v>17.08</v>
      </c>
      <c r="O39" s="58">
        <v>16.33</v>
      </c>
      <c r="P39" s="57">
        <v>15.73</v>
      </c>
      <c r="S39" s="136"/>
    </row>
    <row r="40" spans="1:19" ht="12.75">
      <c r="A40" s="1">
        <f t="shared" si="0"/>
        <v>34</v>
      </c>
      <c r="B40" s="64" t="s">
        <v>540</v>
      </c>
      <c r="C40" s="57">
        <v>41.59</v>
      </c>
      <c r="D40" s="53">
        <v>35.92</v>
      </c>
      <c r="E40" s="57">
        <v>22.13</v>
      </c>
      <c r="F40" s="53">
        <v>19.39</v>
      </c>
      <c r="G40" s="57">
        <v>18.64</v>
      </c>
      <c r="H40" s="53">
        <v>24.23</v>
      </c>
      <c r="I40" s="57">
        <v>21.06</v>
      </c>
      <c r="J40" s="53">
        <v>20.31</v>
      </c>
      <c r="K40" s="57">
        <v>19.32</v>
      </c>
      <c r="L40" s="57">
        <v>23.12</v>
      </c>
      <c r="M40" s="53">
        <v>17.4</v>
      </c>
      <c r="N40" s="57">
        <v>17.08</v>
      </c>
      <c r="O40" s="57">
        <v>16.33</v>
      </c>
      <c r="P40" s="57">
        <v>16.06</v>
      </c>
      <c r="S40" s="136"/>
    </row>
    <row r="41" spans="1:19" ht="12.75">
      <c r="A41" s="1">
        <f t="shared" si="0"/>
        <v>35</v>
      </c>
      <c r="B41" s="65" t="s">
        <v>541</v>
      </c>
      <c r="C41" s="58">
        <v>42.21</v>
      </c>
      <c r="D41" s="52">
        <v>36.69</v>
      </c>
      <c r="E41" s="58">
        <v>22.97</v>
      </c>
      <c r="F41" s="52">
        <v>20.24</v>
      </c>
      <c r="G41" s="58">
        <v>19.49</v>
      </c>
      <c r="H41" s="52">
        <v>25.07</v>
      </c>
      <c r="I41" s="58">
        <v>21.91</v>
      </c>
      <c r="J41" s="52">
        <v>21.16</v>
      </c>
      <c r="K41" s="58">
        <v>20.11</v>
      </c>
      <c r="L41" s="58">
        <v>23.91</v>
      </c>
      <c r="M41" s="52">
        <v>17.78</v>
      </c>
      <c r="N41" s="58">
        <v>17.45</v>
      </c>
      <c r="O41" s="58">
        <v>16.7</v>
      </c>
      <c r="P41" s="57">
        <v>16.65</v>
      </c>
      <c r="S41" s="136"/>
    </row>
    <row r="42" spans="1:19" ht="12.75">
      <c r="A42" s="1">
        <f t="shared" si="0"/>
        <v>36</v>
      </c>
      <c r="B42" s="64" t="s">
        <v>542</v>
      </c>
      <c r="C42" s="57">
        <v>42.62</v>
      </c>
      <c r="D42" s="53">
        <v>36.69</v>
      </c>
      <c r="E42" s="57">
        <v>23.25</v>
      </c>
      <c r="F42" s="53">
        <v>20.51</v>
      </c>
      <c r="G42" s="57">
        <v>19.76</v>
      </c>
      <c r="H42" s="53">
        <v>25.35</v>
      </c>
      <c r="I42" s="57">
        <v>22.18</v>
      </c>
      <c r="J42" s="53">
        <v>21.43</v>
      </c>
      <c r="K42" s="57">
        <v>20.17</v>
      </c>
      <c r="L42" s="57">
        <v>23.97</v>
      </c>
      <c r="M42" s="53">
        <v>18.06</v>
      </c>
      <c r="N42" s="57">
        <v>17.74</v>
      </c>
      <c r="O42" s="57">
        <v>16.99</v>
      </c>
      <c r="P42" s="57">
        <v>17.58</v>
      </c>
      <c r="S42" s="136"/>
    </row>
    <row r="43" spans="1:19" ht="12.75">
      <c r="A43" s="1">
        <f t="shared" si="0"/>
        <v>37</v>
      </c>
      <c r="B43" s="65" t="s">
        <v>543</v>
      </c>
      <c r="C43" s="58">
        <v>41.8</v>
      </c>
      <c r="D43" s="52">
        <v>35.98</v>
      </c>
      <c r="E43" s="58">
        <v>22.72</v>
      </c>
      <c r="F43" s="52">
        <v>19.99</v>
      </c>
      <c r="G43" s="58">
        <v>19.24</v>
      </c>
      <c r="H43" s="52">
        <v>24.83</v>
      </c>
      <c r="I43" s="58">
        <v>21.66</v>
      </c>
      <c r="J43" s="52">
        <v>20.91</v>
      </c>
      <c r="K43" s="58">
        <v>19.77</v>
      </c>
      <c r="L43" s="58">
        <v>23.57</v>
      </c>
      <c r="M43" s="52">
        <v>17.92</v>
      </c>
      <c r="N43" s="58">
        <v>17.6</v>
      </c>
      <c r="O43" s="58">
        <v>16.85</v>
      </c>
      <c r="P43" s="57">
        <v>17.21</v>
      </c>
      <c r="S43" s="136"/>
    </row>
    <row r="44" spans="1:19" ht="12.75">
      <c r="A44" s="1">
        <f t="shared" si="0"/>
        <v>38</v>
      </c>
      <c r="B44" s="64" t="s">
        <v>544</v>
      </c>
      <c r="C44" s="57">
        <v>43.16</v>
      </c>
      <c r="D44" s="53">
        <v>37.56</v>
      </c>
      <c r="E44" s="57">
        <v>24.01</v>
      </c>
      <c r="F44" s="53">
        <v>21.28</v>
      </c>
      <c r="G44" s="57">
        <v>20.53</v>
      </c>
      <c r="H44" s="53">
        <v>26.12</v>
      </c>
      <c r="I44" s="57">
        <v>22.95</v>
      </c>
      <c r="J44" s="53">
        <v>22.2</v>
      </c>
      <c r="K44" s="57">
        <v>21.11</v>
      </c>
      <c r="L44" s="57">
        <v>24.91</v>
      </c>
      <c r="M44" s="53">
        <v>18.56</v>
      </c>
      <c r="N44" s="57">
        <v>18.24</v>
      </c>
      <c r="O44" s="57">
        <v>17.49</v>
      </c>
      <c r="P44" s="57">
        <v>17.96</v>
      </c>
      <c r="S44" s="136"/>
    </row>
    <row r="45" spans="1:19" ht="12.75">
      <c r="A45" s="1">
        <f t="shared" si="0"/>
        <v>39</v>
      </c>
      <c r="B45" s="65" t="s">
        <v>545</v>
      </c>
      <c r="C45" s="58">
        <v>42.52</v>
      </c>
      <c r="D45" s="52">
        <v>37.01</v>
      </c>
      <c r="E45" s="58">
        <v>23.66</v>
      </c>
      <c r="F45" s="52">
        <v>20.93</v>
      </c>
      <c r="G45" s="58">
        <v>20.18</v>
      </c>
      <c r="H45" s="52">
        <v>25.76</v>
      </c>
      <c r="I45" s="58">
        <v>22.6</v>
      </c>
      <c r="J45" s="52">
        <v>21.85</v>
      </c>
      <c r="K45" s="58">
        <v>20.95</v>
      </c>
      <c r="L45" s="58">
        <v>24.75</v>
      </c>
      <c r="M45" s="52">
        <v>18.35</v>
      </c>
      <c r="N45" s="58">
        <v>18.03</v>
      </c>
      <c r="O45" s="58">
        <v>17.28</v>
      </c>
      <c r="P45" s="57">
        <v>17.94</v>
      </c>
      <c r="S45" s="136"/>
    </row>
    <row r="46" spans="1:19" ht="12.75">
      <c r="A46" s="1">
        <f t="shared" si="0"/>
        <v>40</v>
      </c>
      <c r="B46" s="64" t="s">
        <v>546</v>
      </c>
      <c r="C46" s="57">
        <v>43.67</v>
      </c>
      <c r="D46" s="53">
        <v>37.79</v>
      </c>
      <c r="E46" s="57">
        <v>24.35</v>
      </c>
      <c r="F46" s="53">
        <v>21.62</v>
      </c>
      <c r="G46" s="57">
        <v>20.87</v>
      </c>
      <c r="H46" s="53">
        <v>26.45</v>
      </c>
      <c r="I46" s="57">
        <v>23.29</v>
      </c>
      <c r="J46" s="53">
        <v>22.54</v>
      </c>
      <c r="K46" s="57">
        <v>21.58</v>
      </c>
      <c r="L46" s="57">
        <v>25.38</v>
      </c>
      <c r="M46" s="53">
        <v>19</v>
      </c>
      <c r="N46" s="57">
        <v>18.67</v>
      </c>
      <c r="O46" s="57">
        <v>17.92</v>
      </c>
      <c r="P46" s="57">
        <v>18.13</v>
      </c>
      <c r="S46" s="136"/>
    </row>
    <row r="47" spans="1:19" ht="12.75">
      <c r="A47" s="1">
        <f t="shared" si="0"/>
        <v>41</v>
      </c>
      <c r="B47" s="65" t="s">
        <v>547</v>
      </c>
      <c r="C47" s="58">
        <v>44.15</v>
      </c>
      <c r="D47" s="52">
        <v>38.45</v>
      </c>
      <c r="E47" s="58">
        <v>24.08</v>
      </c>
      <c r="F47" s="52">
        <v>21.35</v>
      </c>
      <c r="G47" s="58">
        <v>20.6</v>
      </c>
      <c r="H47" s="52">
        <v>26.18</v>
      </c>
      <c r="I47" s="58">
        <v>23.02</v>
      </c>
      <c r="J47" s="52">
        <v>22.27</v>
      </c>
      <c r="K47" s="58">
        <v>21.28</v>
      </c>
      <c r="L47" s="58">
        <v>25.08</v>
      </c>
      <c r="M47" s="52">
        <v>19.18</v>
      </c>
      <c r="N47" s="58">
        <v>18.86</v>
      </c>
      <c r="O47" s="58">
        <v>18.11</v>
      </c>
      <c r="P47" s="57">
        <v>18.17</v>
      </c>
      <c r="S47" s="136"/>
    </row>
    <row r="48" spans="1:19" ht="12.75">
      <c r="A48" s="1">
        <f t="shared" si="0"/>
        <v>42</v>
      </c>
      <c r="B48" s="64" t="s">
        <v>548</v>
      </c>
      <c r="C48" s="57">
        <v>44.19</v>
      </c>
      <c r="D48" s="53">
        <v>38.58</v>
      </c>
      <c r="E48" s="57">
        <v>24.04</v>
      </c>
      <c r="F48" s="53">
        <v>21.31</v>
      </c>
      <c r="G48" s="57">
        <v>20.56</v>
      </c>
      <c r="H48" s="53">
        <v>26.14</v>
      </c>
      <c r="I48" s="57">
        <v>22.98</v>
      </c>
      <c r="J48" s="53">
        <v>22.23</v>
      </c>
      <c r="K48" s="57">
        <v>21.23</v>
      </c>
      <c r="L48" s="57">
        <v>25.03</v>
      </c>
      <c r="M48" s="53">
        <v>18.71</v>
      </c>
      <c r="N48" s="57">
        <v>18.39</v>
      </c>
      <c r="O48" s="57">
        <v>17.64</v>
      </c>
      <c r="P48" s="57">
        <v>18.27</v>
      </c>
      <c r="S48" s="136"/>
    </row>
    <row r="49" spans="1:19" ht="12.75">
      <c r="A49" s="1">
        <f t="shared" si="0"/>
        <v>43</v>
      </c>
      <c r="B49" s="65" t="s">
        <v>549</v>
      </c>
      <c r="C49" s="58">
        <v>45.83</v>
      </c>
      <c r="D49" s="52">
        <v>40.13</v>
      </c>
      <c r="E49" s="58">
        <v>24.28</v>
      </c>
      <c r="F49" s="52">
        <v>21.55</v>
      </c>
      <c r="G49" s="58">
        <v>20.8</v>
      </c>
      <c r="H49" s="52">
        <v>26.38</v>
      </c>
      <c r="I49" s="58">
        <v>23.22</v>
      </c>
      <c r="J49" s="52">
        <v>22.47</v>
      </c>
      <c r="K49" s="58">
        <v>21.35</v>
      </c>
      <c r="L49" s="58">
        <v>25.15</v>
      </c>
      <c r="M49" s="52">
        <v>17.73</v>
      </c>
      <c r="N49" s="58">
        <v>17.41</v>
      </c>
      <c r="O49" s="58">
        <v>16.66</v>
      </c>
      <c r="P49" s="57">
        <v>18.63</v>
      </c>
      <c r="S49" s="136"/>
    </row>
    <row r="50" spans="1:19" ht="12.75">
      <c r="A50" s="1">
        <f t="shared" si="0"/>
        <v>44</v>
      </c>
      <c r="B50" s="64" t="s">
        <v>550</v>
      </c>
      <c r="C50" s="57">
        <v>43.9</v>
      </c>
      <c r="D50" s="53">
        <v>38.09</v>
      </c>
      <c r="E50" s="57">
        <v>23.52</v>
      </c>
      <c r="F50" s="53">
        <v>20.79</v>
      </c>
      <c r="G50" s="57">
        <v>20.04</v>
      </c>
      <c r="H50" s="53">
        <v>25.63</v>
      </c>
      <c r="I50" s="57">
        <v>22.46</v>
      </c>
      <c r="J50" s="53">
        <v>21.71</v>
      </c>
      <c r="K50" s="57">
        <v>20.31</v>
      </c>
      <c r="L50" s="57">
        <v>24.11</v>
      </c>
      <c r="M50" s="53">
        <v>17.16</v>
      </c>
      <c r="N50" s="57">
        <v>16.84</v>
      </c>
      <c r="O50" s="57">
        <v>16.09</v>
      </c>
      <c r="P50" s="57">
        <v>18.89</v>
      </c>
      <c r="S50" s="136"/>
    </row>
    <row r="51" spans="1:19" ht="12.75">
      <c r="A51" s="1">
        <f t="shared" si="0"/>
        <v>45</v>
      </c>
      <c r="B51" s="65" t="s">
        <v>551</v>
      </c>
      <c r="C51" s="58">
        <v>44.32</v>
      </c>
      <c r="D51" s="52">
        <v>38.61</v>
      </c>
      <c r="E51" s="58">
        <v>23.11</v>
      </c>
      <c r="F51" s="52">
        <v>20.37</v>
      </c>
      <c r="G51" s="58">
        <v>19.62</v>
      </c>
      <c r="H51" s="52">
        <v>25.21</v>
      </c>
      <c r="I51" s="58">
        <v>22.05</v>
      </c>
      <c r="J51" s="52">
        <v>21.3</v>
      </c>
      <c r="K51" s="58">
        <v>19.65</v>
      </c>
      <c r="L51" s="58">
        <v>23.45</v>
      </c>
      <c r="M51" s="52">
        <v>17.12</v>
      </c>
      <c r="N51" s="58">
        <v>16.8</v>
      </c>
      <c r="O51" s="58">
        <v>16.05</v>
      </c>
      <c r="P51" s="57">
        <v>17.76</v>
      </c>
      <c r="S51" s="136"/>
    </row>
    <row r="52" spans="1:19" ht="12.75">
      <c r="A52" s="1">
        <f t="shared" si="0"/>
        <v>46</v>
      </c>
      <c r="B52" s="64" t="s">
        <v>552</v>
      </c>
      <c r="C52" s="57">
        <v>44.92</v>
      </c>
      <c r="D52" s="53">
        <v>38.63</v>
      </c>
      <c r="E52" s="57">
        <v>23.27</v>
      </c>
      <c r="F52" s="53">
        <v>20.54</v>
      </c>
      <c r="G52" s="57">
        <v>19.79</v>
      </c>
      <c r="H52" s="53">
        <v>25.38</v>
      </c>
      <c r="I52" s="57">
        <v>22.21</v>
      </c>
      <c r="J52" s="53">
        <v>21.46</v>
      </c>
      <c r="K52" s="57">
        <v>19.61</v>
      </c>
      <c r="L52" s="57">
        <v>23.41</v>
      </c>
      <c r="M52" s="53">
        <v>16.7</v>
      </c>
      <c r="N52" s="57">
        <v>16.37</v>
      </c>
      <c r="O52" s="57">
        <v>15.62</v>
      </c>
      <c r="P52" s="57">
        <v>19.13</v>
      </c>
      <c r="S52" s="136"/>
    </row>
    <row r="53" spans="1:19" ht="12.75">
      <c r="A53" s="1">
        <f t="shared" si="0"/>
        <v>47</v>
      </c>
      <c r="B53" s="65" t="s">
        <v>553</v>
      </c>
      <c r="C53" s="58">
        <v>42.66</v>
      </c>
      <c r="D53" s="52">
        <v>36.79</v>
      </c>
      <c r="E53" s="58">
        <v>22.23</v>
      </c>
      <c r="F53" s="52">
        <v>19.5</v>
      </c>
      <c r="G53" s="58">
        <v>18.75</v>
      </c>
      <c r="H53" s="52">
        <v>24.34</v>
      </c>
      <c r="I53" s="58">
        <v>21.17</v>
      </c>
      <c r="J53" s="52">
        <v>20.42</v>
      </c>
      <c r="K53" s="58">
        <v>18.7</v>
      </c>
      <c r="L53" s="58">
        <v>22.5</v>
      </c>
      <c r="M53" s="52">
        <v>15.5</v>
      </c>
      <c r="N53" s="58">
        <v>15.17</v>
      </c>
      <c r="O53" s="58">
        <v>14.42</v>
      </c>
      <c r="P53" s="57">
        <v>18.96</v>
      </c>
      <c r="S53" s="136"/>
    </row>
    <row r="54" spans="1:19" ht="12.75">
      <c r="A54" s="1">
        <f t="shared" si="0"/>
        <v>48</v>
      </c>
      <c r="B54" s="64" t="s">
        <v>554</v>
      </c>
      <c r="C54" s="57">
        <v>42.33</v>
      </c>
      <c r="D54" s="53">
        <v>36.32</v>
      </c>
      <c r="E54" s="57">
        <v>23.05</v>
      </c>
      <c r="F54" s="53">
        <v>20.32</v>
      </c>
      <c r="G54" s="57">
        <v>19.57</v>
      </c>
      <c r="H54" s="53">
        <v>25.16</v>
      </c>
      <c r="I54" s="57">
        <v>21.99</v>
      </c>
      <c r="J54" s="53">
        <v>21.24</v>
      </c>
      <c r="K54" s="57">
        <v>19.57</v>
      </c>
      <c r="L54" s="57">
        <v>23.37</v>
      </c>
      <c r="M54" s="53">
        <v>15.62</v>
      </c>
      <c r="N54" s="57">
        <v>15.3</v>
      </c>
      <c r="O54" s="57">
        <v>14.55</v>
      </c>
      <c r="P54" s="57">
        <v>19.16</v>
      </c>
      <c r="S54" s="136"/>
    </row>
    <row r="55" spans="1:19" ht="12.75">
      <c r="A55" s="1">
        <f t="shared" si="0"/>
        <v>49</v>
      </c>
      <c r="B55" s="65" t="s">
        <v>555</v>
      </c>
      <c r="C55" s="58">
        <v>42.61</v>
      </c>
      <c r="D55" s="52">
        <v>36.78</v>
      </c>
      <c r="E55" s="58">
        <v>23.44</v>
      </c>
      <c r="F55" s="52">
        <v>20.7</v>
      </c>
      <c r="G55" s="58">
        <v>19.95</v>
      </c>
      <c r="H55" s="52">
        <v>25.54</v>
      </c>
      <c r="I55" s="58">
        <v>22.37</v>
      </c>
      <c r="J55" s="52">
        <v>21.62</v>
      </c>
      <c r="K55" s="58">
        <v>19.73</v>
      </c>
      <c r="L55" s="58">
        <v>23.53</v>
      </c>
      <c r="M55" s="52">
        <v>15.71</v>
      </c>
      <c r="N55" s="58">
        <v>15.39</v>
      </c>
      <c r="O55" s="58">
        <v>14.64</v>
      </c>
      <c r="P55" s="57">
        <v>19.76</v>
      </c>
      <c r="S55" s="136"/>
    </row>
    <row r="56" spans="1:19" ht="12.75">
      <c r="A56" s="1">
        <f t="shared" si="0"/>
        <v>50</v>
      </c>
      <c r="B56" s="64" t="s">
        <v>556</v>
      </c>
      <c r="C56" s="57">
        <v>43.64</v>
      </c>
      <c r="D56" s="53">
        <v>37.78</v>
      </c>
      <c r="E56" s="57">
        <v>23.6</v>
      </c>
      <c r="F56" s="53">
        <v>20.86</v>
      </c>
      <c r="G56" s="57">
        <v>20.11</v>
      </c>
      <c r="H56" s="53">
        <v>25.7</v>
      </c>
      <c r="I56" s="57">
        <v>22.53</v>
      </c>
      <c r="J56" s="53">
        <v>21.78</v>
      </c>
      <c r="K56" s="57">
        <v>19.97</v>
      </c>
      <c r="L56" s="57">
        <v>23.77</v>
      </c>
      <c r="M56" s="53">
        <v>15.99</v>
      </c>
      <c r="N56" s="57">
        <v>15.67</v>
      </c>
      <c r="O56" s="57">
        <v>14.92</v>
      </c>
      <c r="P56" s="57">
        <v>20.5</v>
      </c>
      <c r="S56" s="136"/>
    </row>
    <row r="57" spans="1:19" ht="12.75">
      <c r="A57" s="1">
        <f t="shared" si="0"/>
        <v>51</v>
      </c>
      <c r="B57" s="65" t="s">
        <v>557</v>
      </c>
      <c r="C57" s="58">
        <v>44.94</v>
      </c>
      <c r="D57" s="52">
        <v>39.1</v>
      </c>
      <c r="E57" s="58">
        <v>23.42</v>
      </c>
      <c r="F57" s="52">
        <v>20.68</v>
      </c>
      <c r="G57" s="58">
        <v>19.93</v>
      </c>
      <c r="H57" s="52">
        <v>25.52</v>
      </c>
      <c r="I57" s="58">
        <v>22.35</v>
      </c>
      <c r="J57" s="52">
        <v>21.6</v>
      </c>
      <c r="K57" s="58">
        <v>19.77</v>
      </c>
      <c r="L57" s="58">
        <v>23.57</v>
      </c>
      <c r="M57" s="52">
        <v>15.91</v>
      </c>
      <c r="N57" s="58">
        <v>15.58</v>
      </c>
      <c r="O57" s="58">
        <v>14.83</v>
      </c>
      <c r="P57" s="57">
        <v>20.38</v>
      </c>
      <c r="S57" s="136"/>
    </row>
    <row r="58" spans="1:19" ht="12.75">
      <c r="A58" s="1">
        <f t="shared" si="0"/>
        <v>52</v>
      </c>
      <c r="B58" s="64" t="s">
        <v>558</v>
      </c>
      <c r="C58" s="57">
        <v>45.12</v>
      </c>
      <c r="D58" s="53">
        <v>39.63</v>
      </c>
      <c r="E58" s="57">
        <v>25.05</v>
      </c>
      <c r="F58" s="53">
        <v>22.31</v>
      </c>
      <c r="G58" s="57">
        <v>21.56</v>
      </c>
      <c r="H58" s="53">
        <v>27.15</v>
      </c>
      <c r="I58" s="57">
        <v>23.98</v>
      </c>
      <c r="J58" s="53">
        <v>23.23</v>
      </c>
      <c r="K58" s="57">
        <v>21.53</v>
      </c>
      <c r="L58" s="57">
        <v>25.33</v>
      </c>
      <c r="M58" s="53">
        <v>17.36</v>
      </c>
      <c r="N58" s="57">
        <v>17.03</v>
      </c>
      <c r="O58" s="57">
        <v>16.28</v>
      </c>
      <c r="P58" s="57">
        <v>20.99</v>
      </c>
      <c r="S58" s="136"/>
    </row>
    <row r="59" spans="1:19" ht="12.75">
      <c r="A59" s="1">
        <f t="shared" si="0"/>
        <v>53</v>
      </c>
      <c r="B59" s="66" t="s">
        <v>559</v>
      </c>
      <c r="C59" s="59">
        <v>47.33</v>
      </c>
      <c r="D59" s="55">
        <v>41.87</v>
      </c>
      <c r="E59" s="59">
        <v>26.42</v>
      </c>
      <c r="F59" s="55">
        <v>23.69</v>
      </c>
      <c r="G59" s="59">
        <v>22.94</v>
      </c>
      <c r="H59" s="55">
        <v>28.52</v>
      </c>
      <c r="I59" s="59">
        <v>25.36</v>
      </c>
      <c r="J59" s="55">
        <v>24.61</v>
      </c>
      <c r="K59" s="59">
        <v>23.35</v>
      </c>
      <c r="L59" s="59">
        <v>27.15</v>
      </c>
      <c r="M59" s="55">
        <v>18.91</v>
      </c>
      <c r="N59" s="59">
        <v>18.59</v>
      </c>
      <c r="O59" s="59">
        <v>17.84</v>
      </c>
      <c r="P59" s="69">
        <v>21.42</v>
      </c>
      <c r="S59" s="136"/>
    </row>
    <row r="60" spans="2:16" ht="13.5" thickBot="1">
      <c r="B60" s="64" t="s">
        <v>923</v>
      </c>
      <c r="C60" s="107">
        <f>SUM(C7:C59)/53</f>
        <v>41.400188679245275</v>
      </c>
      <c r="D60" s="107">
        <f aca="true" t="shared" si="1" ref="D60:P60">SUM(D7:D59)/53</f>
        <v>35.84830188679245</v>
      </c>
      <c r="E60" s="107">
        <f t="shared" si="1"/>
        <v>21.854528301886795</v>
      </c>
      <c r="F60" s="107">
        <f t="shared" si="1"/>
        <v>16.374150943396224</v>
      </c>
      <c r="G60" s="107">
        <f t="shared" si="1"/>
        <v>15.624150943396224</v>
      </c>
      <c r="H60" s="107">
        <f t="shared" si="1"/>
        <v>23.956415094339633</v>
      </c>
      <c r="I60" s="107">
        <f t="shared" si="1"/>
        <v>20.791132075471694</v>
      </c>
      <c r="J60" s="107">
        <f t="shared" si="1"/>
        <v>20.041132075471694</v>
      </c>
      <c r="K60" s="107">
        <f t="shared" si="1"/>
        <v>18.678113207547177</v>
      </c>
      <c r="L60" s="107">
        <f t="shared" si="1"/>
        <v>22.47811320754717</v>
      </c>
      <c r="M60" s="107">
        <f t="shared" si="1"/>
        <v>16.606792452830184</v>
      </c>
      <c r="N60" s="107">
        <f t="shared" si="1"/>
        <v>13.53641509433962</v>
      </c>
      <c r="O60" s="107">
        <f t="shared" si="1"/>
        <v>12.78641509433962</v>
      </c>
      <c r="P60" s="107">
        <f t="shared" si="1"/>
        <v>16.346603773584906</v>
      </c>
    </row>
    <row r="61" ht="13.5" thickTop="1"/>
  </sheetData>
  <sheetProtection/>
  <mergeCells count="5">
    <mergeCell ref="S7:S59"/>
    <mergeCell ref="C5:P5"/>
    <mergeCell ref="A1:P1"/>
    <mergeCell ref="A3:P3"/>
    <mergeCell ref="A2:P2"/>
  </mergeCells>
  <printOptions horizontalCentered="1"/>
  <pageMargins left="0.1968503937007874" right="0.1968503937007874" top="0.15748031496062992" bottom="0.31496062992125984" header="0.15748031496062992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4" width="9.421875" style="0" bestFit="1" customWidth="1"/>
    <col min="5" max="5" width="8.7109375" style="0" bestFit="1" customWidth="1"/>
    <col min="6" max="6" width="8.421875" style="0" customWidth="1"/>
    <col min="7" max="9" width="8.140625" style="0" customWidth="1"/>
    <col min="10" max="10" width="8.28125" style="0" customWidth="1"/>
    <col min="11" max="11" width="7.140625" style="0" bestFit="1" customWidth="1"/>
    <col min="12" max="12" width="8.421875" style="0" customWidth="1"/>
    <col min="13" max="13" width="6.57421875" style="0" bestFit="1" customWidth="1"/>
    <col min="14" max="14" width="9.8515625" style="0" bestFit="1" customWidth="1"/>
    <col min="15" max="15" width="5.57421875" style="0" bestFit="1" customWidth="1"/>
    <col min="16" max="16" width="7.28125" style="0" customWidth="1"/>
    <col min="17" max="17" width="7.421875" style="0" customWidth="1"/>
    <col min="18" max="18" width="6.140625" style="0" customWidth="1"/>
    <col min="19" max="19" width="6.421875" style="0" customWidth="1"/>
    <col min="20" max="20" width="5.28125" style="0" customWidth="1"/>
    <col min="21" max="21" width="6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ht="5.25" customHeight="1"/>
    <row r="5" spans="3:21" ht="12.75">
      <c r="C5" s="133" t="s">
        <v>632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</row>
    <row r="6" spans="2:21" ht="72">
      <c r="B6" s="15" t="s">
        <v>919</v>
      </c>
      <c r="C6" s="74" t="s">
        <v>0</v>
      </c>
      <c r="D6" s="74" t="s">
        <v>1</v>
      </c>
      <c r="E6" s="75" t="s">
        <v>2</v>
      </c>
      <c r="F6" s="76" t="s">
        <v>3</v>
      </c>
      <c r="G6" s="76" t="s">
        <v>4</v>
      </c>
      <c r="H6" s="76" t="s">
        <v>5</v>
      </c>
      <c r="I6" s="76" t="s">
        <v>6</v>
      </c>
      <c r="J6" s="74" t="s">
        <v>522</v>
      </c>
      <c r="K6" s="77" t="s">
        <v>523</v>
      </c>
      <c r="L6" s="74" t="s">
        <v>9</v>
      </c>
      <c r="M6" s="77" t="s">
        <v>524</v>
      </c>
      <c r="N6" s="74" t="s">
        <v>19</v>
      </c>
      <c r="O6" s="77" t="s">
        <v>11</v>
      </c>
      <c r="P6" s="76" t="s">
        <v>12</v>
      </c>
      <c r="Q6" s="76" t="s">
        <v>13</v>
      </c>
      <c r="R6" s="76" t="s">
        <v>14</v>
      </c>
      <c r="S6" s="76" t="s">
        <v>15</v>
      </c>
      <c r="T6" s="78" t="s">
        <v>525</v>
      </c>
      <c r="U6" s="74" t="s">
        <v>526</v>
      </c>
    </row>
    <row r="7" spans="1:23" ht="12.75">
      <c r="A7" s="1">
        <v>1</v>
      </c>
      <c r="B7" s="92" t="s">
        <v>580</v>
      </c>
      <c r="C7" s="79">
        <v>46.36</v>
      </c>
      <c r="D7" s="80">
        <v>40.81</v>
      </c>
      <c r="E7" s="79">
        <v>25.86</v>
      </c>
      <c r="F7" s="80">
        <v>23.12</v>
      </c>
      <c r="G7" s="79">
        <v>22.37</v>
      </c>
      <c r="H7" s="80">
        <v>17.92</v>
      </c>
      <c r="I7" s="79">
        <v>17.17</v>
      </c>
      <c r="J7" s="80">
        <v>27.96</v>
      </c>
      <c r="K7" s="79">
        <v>24.79</v>
      </c>
      <c r="L7" s="80">
        <v>24.04</v>
      </c>
      <c r="M7" s="79">
        <v>22.78</v>
      </c>
      <c r="N7" s="80">
        <v>26.58</v>
      </c>
      <c r="O7" s="79">
        <v>20.02</v>
      </c>
      <c r="P7" s="80">
        <v>19.7</v>
      </c>
      <c r="Q7" s="80">
        <v>18.95</v>
      </c>
      <c r="R7" s="81">
        <v>14.5</v>
      </c>
      <c r="S7" s="81">
        <v>13.75</v>
      </c>
      <c r="T7" s="81">
        <v>21.29</v>
      </c>
      <c r="U7" s="80">
        <v>0</v>
      </c>
      <c r="W7" s="136"/>
    </row>
    <row r="8" spans="1:23" ht="12.75">
      <c r="A8" s="1">
        <f>A7+1</f>
        <v>2</v>
      </c>
      <c r="B8" s="93" t="s">
        <v>581</v>
      </c>
      <c r="C8" s="82">
        <v>45.94</v>
      </c>
      <c r="D8" s="83">
        <v>40.56</v>
      </c>
      <c r="E8" s="82">
        <v>25.42</v>
      </c>
      <c r="F8" s="83">
        <v>22.69</v>
      </c>
      <c r="G8" s="82">
        <v>21.94</v>
      </c>
      <c r="H8" s="83">
        <v>17.49</v>
      </c>
      <c r="I8" s="82">
        <v>16.74</v>
      </c>
      <c r="J8" s="83">
        <v>27.52</v>
      </c>
      <c r="K8" s="82">
        <v>24.36</v>
      </c>
      <c r="L8" s="83">
        <v>23.61</v>
      </c>
      <c r="M8" s="82">
        <v>22</v>
      </c>
      <c r="N8" s="83">
        <v>25.8</v>
      </c>
      <c r="O8" s="82">
        <v>20.56</v>
      </c>
      <c r="P8" s="83">
        <v>20.24</v>
      </c>
      <c r="Q8" s="83">
        <v>19.49</v>
      </c>
      <c r="R8" s="84">
        <v>15.04</v>
      </c>
      <c r="S8" s="84">
        <v>14.29</v>
      </c>
      <c r="T8" s="84">
        <v>21.91</v>
      </c>
      <c r="U8" s="83">
        <v>0</v>
      </c>
      <c r="W8" s="136"/>
    </row>
    <row r="9" spans="1:23" ht="12.75">
      <c r="A9" s="1">
        <f aca="true" t="shared" si="0" ref="A9:A57">A8+1</f>
        <v>3</v>
      </c>
      <c r="B9" s="94" t="s">
        <v>582</v>
      </c>
      <c r="C9" s="85">
        <v>48.48</v>
      </c>
      <c r="D9" s="86">
        <v>42.74</v>
      </c>
      <c r="E9" s="85">
        <v>26.16</v>
      </c>
      <c r="F9" s="86">
        <v>23.42</v>
      </c>
      <c r="G9" s="85">
        <v>22.67</v>
      </c>
      <c r="H9" s="86">
        <v>18.22</v>
      </c>
      <c r="I9" s="85">
        <v>17.47</v>
      </c>
      <c r="J9" s="86">
        <v>28.26</v>
      </c>
      <c r="K9" s="85">
        <v>25.09</v>
      </c>
      <c r="L9" s="86">
        <v>24.34</v>
      </c>
      <c r="M9" s="85">
        <v>22.62</v>
      </c>
      <c r="N9" s="86">
        <v>26.42</v>
      </c>
      <c r="O9" s="85">
        <v>21.94</v>
      </c>
      <c r="P9" s="86">
        <v>21.62</v>
      </c>
      <c r="Q9" s="86">
        <v>20.87</v>
      </c>
      <c r="R9" s="87">
        <v>16.42</v>
      </c>
      <c r="S9" s="87">
        <v>15.67</v>
      </c>
      <c r="T9" s="87">
        <v>22.5</v>
      </c>
      <c r="U9" s="86">
        <v>0</v>
      </c>
      <c r="W9" s="136"/>
    </row>
    <row r="10" spans="1:23" ht="12.75">
      <c r="A10" s="1">
        <f t="shared" si="0"/>
        <v>4</v>
      </c>
      <c r="B10" s="93" t="s">
        <v>583</v>
      </c>
      <c r="C10" s="82">
        <v>48.59</v>
      </c>
      <c r="D10" s="83">
        <v>42.95</v>
      </c>
      <c r="E10" s="82">
        <v>26.37</v>
      </c>
      <c r="F10" s="83">
        <v>23.64</v>
      </c>
      <c r="G10" s="82">
        <v>22.89</v>
      </c>
      <c r="H10" s="83">
        <v>18.44</v>
      </c>
      <c r="I10" s="82">
        <v>17.69</v>
      </c>
      <c r="J10" s="83">
        <v>28.47</v>
      </c>
      <c r="K10" s="82">
        <v>25.31</v>
      </c>
      <c r="L10" s="83">
        <v>24.56</v>
      </c>
      <c r="M10" s="82">
        <v>22.82</v>
      </c>
      <c r="N10" s="83">
        <v>26.62</v>
      </c>
      <c r="O10" s="82">
        <v>21.72</v>
      </c>
      <c r="P10" s="83">
        <v>21.4</v>
      </c>
      <c r="Q10" s="83">
        <v>20.65</v>
      </c>
      <c r="R10" s="84">
        <v>16.2</v>
      </c>
      <c r="S10" s="84">
        <v>15.45</v>
      </c>
      <c r="T10" s="84">
        <v>24.06</v>
      </c>
      <c r="U10" s="83">
        <v>0</v>
      </c>
      <c r="W10" s="136"/>
    </row>
    <row r="11" spans="1:23" ht="12.75">
      <c r="A11" s="1">
        <f t="shared" si="0"/>
        <v>5</v>
      </c>
      <c r="B11" s="94" t="s">
        <v>584</v>
      </c>
      <c r="C11" s="85">
        <v>49.95</v>
      </c>
      <c r="D11" s="86">
        <v>44.22</v>
      </c>
      <c r="E11" s="85">
        <v>26.87</v>
      </c>
      <c r="F11" s="86">
        <v>24.14</v>
      </c>
      <c r="G11" s="85">
        <v>23.39</v>
      </c>
      <c r="H11" s="86">
        <v>18.94</v>
      </c>
      <c r="I11" s="85">
        <v>18.19</v>
      </c>
      <c r="J11" s="86">
        <v>28.97</v>
      </c>
      <c r="K11" s="85">
        <v>25.81</v>
      </c>
      <c r="L11" s="86">
        <v>25.06</v>
      </c>
      <c r="M11" s="85">
        <v>23.39</v>
      </c>
      <c r="N11" s="86">
        <v>27.19</v>
      </c>
      <c r="O11" s="85">
        <v>21.14</v>
      </c>
      <c r="P11" s="86">
        <v>20.82</v>
      </c>
      <c r="Q11" s="86">
        <v>20.07</v>
      </c>
      <c r="R11" s="87">
        <v>15.62</v>
      </c>
      <c r="S11" s="87">
        <v>14.87</v>
      </c>
      <c r="T11" s="87">
        <v>25.17</v>
      </c>
      <c r="U11" s="86">
        <v>0</v>
      </c>
      <c r="W11" s="136"/>
    </row>
    <row r="12" spans="1:23" ht="12.75">
      <c r="A12" s="1">
        <f t="shared" si="0"/>
        <v>6</v>
      </c>
      <c r="B12" s="93" t="s">
        <v>585</v>
      </c>
      <c r="C12" s="82">
        <v>52.2</v>
      </c>
      <c r="D12" s="83">
        <v>46.68</v>
      </c>
      <c r="E12" s="82">
        <v>28.04</v>
      </c>
      <c r="F12" s="83">
        <v>25.3</v>
      </c>
      <c r="G12" s="82">
        <v>24.55</v>
      </c>
      <c r="H12" s="83">
        <v>20.1</v>
      </c>
      <c r="I12" s="82">
        <v>19.35</v>
      </c>
      <c r="J12" s="83">
        <v>30.14</v>
      </c>
      <c r="K12" s="82">
        <v>26.98</v>
      </c>
      <c r="L12" s="83">
        <v>26.23</v>
      </c>
      <c r="M12" s="82">
        <v>24.74</v>
      </c>
      <c r="N12" s="83">
        <v>28.54</v>
      </c>
      <c r="O12" s="82">
        <v>20.86</v>
      </c>
      <c r="P12" s="83">
        <v>20.54</v>
      </c>
      <c r="Q12" s="83">
        <v>19.79</v>
      </c>
      <c r="R12" s="84">
        <v>15.34</v>
      </c>
      <c r="S12" s="84">
        <v>14.59</v>
      </c>
      <c r="T12" s="84">
        <v>25.97</v>
      </c>
      <c r="U12" s="83">
        <v>0</v>
      </c>
      <c r="W12" s="136"/>
    </row>
    <row r="13" spans="1:23" ht="12.75">
      <c r="A13" s="1">
        <f t="shared" si="0"/>
        <v>7</v>
      </c>
      <c r="B13" s="94" t="s">
        <v>586</v>
      </c>
      <c r="C13" s="85">
        <v>54.9</v>
      </c>
      <c r="D13" s="86">
        <v>49.49</v>
      </c>
      <c r="E13" s="85">
        <v>29.51</v>
      </c>
      <c r="F13" s="86">
        <v>26.78</v>
      </c>
      <c r="G13" s="85">
        <v>26.03</v>
      </c>
      <c r="H13" s="86">
        <v>21.58</v>
      </c>
      <c r="I13" s="85">
        <v>20.83</v>
      </c>
      <c r="J13" s="86">
        <v>31.61</v>
      </c>
      <c r="K13" s="85">
        <v>28.45</v>
      </c>
      <c r="L13" s="86">
        <v>27.7</v>
      </c>
      <c r="M13" s="85">
        <v>25.91</v>
      </c>
      <c r="N13" s="86">
        <v>29.71</v>
      </c>
      <c r="O13" s="85">
        <v>21.07</v>
      </c>
      <c r="P13" s="86">
        <v>20.74</v>
      </c>
      <c r="Q13" s="86">
        <v>19.99</v>
      </c>
      <c r="R13" s="87">
        <v>15.54</v>
      </c>
      <c r="S13" s="87">
        <v>14.79</v>
      </c>
      <c r="T13" s="87">
        <v>25</v>
      </c>
      <c r="U13" s="86">
        <v>0</v>
      </c>
      <c r="W13" s="136"/>
    </row>
    <row r="14" spans="1:23" ht="12.75">
      <c r="A14" s="1">
        <f t="shared" si="0"/>
        <v>8</v>
      </c>
      <c r="B14" s="93" t="s">
        <v>587</v>
      </c>
      <c r="C14" s="82">
        <v>53.29</v>
      </c>
      <c r="D14" s="83">
        <v>47.94</v>
      </c>
      <c r="E14" s="82">
        <v>29.37</v>
      </c>
      <c r="F14" s="83">
        <v>26.64</v>
      </c>
      <c r="G14" s="82">
        <v>25.89</v>
      </c>
      <c r="H14" s="83">
        <v>21.44</v>
      </c>
      <c r="I14" s="82">
        <v>20.69</v>
      </c>
      <c r="J14" s="83">
        <v>31.48</v>
      </c>
      <c r="K14" s="82">
        <v>28.31</v>
      </c>
      <c r="L14" s="83">
        <v>27.56</v>
      </c>
      <c r="M14" s="82">
        <v>25.84</v>
      </c>
      <c r="N14" s="83">
        <v>29.64</v>
      </c>
      <c r="O14" s="82">
        <v>19.73</v>
      </c>
      <c r="P14" s="83">
        <v>19.41</v>
      </c>
      <c r="Q14" s="83">
        <v>18.66</v>
      </c>
      <c r="R14" s="84">
        <v>14.21</v>
      </c>
      <c r="S14" s="84">
        <v>13.46</v>
      </c>
      <c r="T14" s="84">
        <v>25</v>
      </c>
      <c r="U14" s="83">
        <v>0</v>
      </c>
      <c r="W14" s="136"/>
    </row>
    <row r="15" spans="1:23" ht="12.75">
      <c r="A15" s="1">
        <f t="shared" si="0"/>
        <v>9</v>
      </c>
      <c r="B15" s="94" t="s">
        <v>588</v>
      </c>
      <c r="C15" s="85">
        <v>54.25</v>
      </c>
      <c r="D15" s="86">
        <v>48.95</v>
      </c>
      <c r="E15" s="85">
        <v>30.31</v>
      </c>
      <c r="F15" s="86">
        <v>27.57</v>
      </c>
      <c r="G15" s="85">
        <v>26.82</v>
      </c>
      <c r="H15" s="86">
        <v>22.37</v>
      </c>
      <c r="I15" s="85">
        <v>21.62</v>
      </c>
      <c r="J15" s="86">
        <v>32.41</v>
      </c>
      <c r="K15" s="85">
        <v>29.25</v>
      </c>
      <c r="L15" s="86">
        <v>28.5</v>
      </c>
      <c r="M15" s="85">
        <v>26.52</v>
      </c>
      <c r="N15" s="86">
        <v>30.32</v>
      </c>
      <c r="O15" s="85">
        <v>20.16</v>
      </c>
      <c r="P15" s="86">
        <v>19.84</v>
      </c>
      <c r="Q15" s="86">
        <v>19.09</v>
      </c>
      <c r="R15" s="87">
        <v>14.64</v>
      </c>
      <c r="S15" s="87">
        <v>13.89</v>
      </c>
      <c r="T15" s="87">
        <v>25</v>
      </c>
      <c r="U15" s="86">
        <v>0</v>
      </c>
      <c r="W15" s="136"/>
    </row>
    <row r="16" spans="1:23" ht="12.75">
      <c r="A16" s="1">
        <f t="shared" si="0"/>
        <v>10</v>
      </c>
      <c r="B16" s="93" t="s">
        <v>589</v>
      </c>
      <c r="C16" s="82">
        <v>53.92</v>
      </c>
      <c r="D16" s="83">
        <v>47.99</v>
      </c>
      <c r="E16" s="82">
        <v>29.81</v>
      </c>
      <c r="F16" s="83">
        <v>27.07</v>
      </c>
      <c r="G16" s="82">
        <v>26.32</v>
      </c>
      <c r="H16" s="83">
        <v>21.87</v>
      </c>
      <c r="I16" s="82">
        <v>21.12</v>
      </c>
      <c r="J16" s="83">
        <v>31.84</v>
      </c>
      <c r="K16" s="82">
        <v>28.68</v>
      </c>
      <c r="L16" s="83">
        <v>27.93</v>
      </c>
      <c r="M16" s="82">
        <v>26.35</v>
      </c>
      <c r="N16" s="83">
        <v>30.15</v>
      </c>
      <c r="O16" s="82">
        <v>19.52</v>
      </c>
      <c r="P16" s="83">
        <v>19.2</v>
      </c>
      <c r="Q16" s="83">
        <v>18.45</v>
      </c>
      <c r="R16" s="84">
        <v>14</v>
      </c>
      <c r="S16" s="84">
        <v>13.25</v>
      </c>
      <c r="T16" s="87">
        <v>25</v>
      </c>
      <c r="U16" s="86">
        <v>0</v>
      </c>
      <c r="W16" s="136"/>
    </row>
    <row r="17" spans="1:23" ht="12.75">
      <c r="A17" s="1">
        <f t="shared" si="0"/>
        <v>11</v>
      </c>
      <c r="B17" s="94" t="s">
        <v>590</v>
      </c>
      <c r="C17" s="85">
        <v>53.51</v>
      </c>
      <c r="D17" s="86">
        <v>47.36</v>
      </c>
      <c r="E17" s="85">
        <v>29.04</v>
      </c>
      <c r="F17" s="86">
        <v>26.31</v>
      </c>
      <c r="G17" s="85">
        <v>25.56</v>
      </c>
      <c r="H17" s="86">
        <v>21.11</v>
      </c>
      <c r="I17" s="85">
        <v>20.36</v>
      </c>
      <c r="J17" s="86">
        <v>31.07</v>
      </c>
      <c r="K17" s="85">
        <v>27.91</v>
      </c>
      <c r="L17" s="86">
        <v>27.16</v>
      </c>
      <c r="M17" s="85">
        <v>25.94</v>
      </c>
      <c r="N17" s="86">
        <v>29.74</v>
      </c>
      <c r="O17" s="85">
        <v>19.29</v>
      </c>
      <c r="P17" s="86">
        <v>18.97</v>
      </c>
      <c r="Q17" s="86">
        <v>18.22</v>
      </c>
      <c r="R17" s="87">
        <v>13.77</v>
      </c>
      <c r="S17" s="87">
        <v>13.02</v>
      </c>
      <c r="T17" s="87">
        <v>24.87</v>
      </c>
      <c r="U17" s="86">
        <v>0</v>
      </c>
      <c r="W17" s="136"/>
    </row>
    <row r="18" spans="1:23" ht="12.75">
      <c r="A18" s="1">
        <f t="shared" si="0"/>
        <v>12</v>
      </c>
      <c r="B18" s="93" t="s">
        <v>591</v>
      </c>
      <c r="C18" s="82">
        <v>51.8</v>
      </c>
      <c r="D18" s="83">
        <v>46.04</v>
      </c>
      <c r="E18" s="82">
        <v>27.76</v>
      </c>
      <c r="F18" s="83">
        <v>25.02</v>
      </c>
      <c r="G18" s="82">
        <v>24.03</v>
      </c>
      <c r="H18" s="83">
        <v>19.82</v>
      </c>
      <c r="I18" s="82">
        <v>18.83</v>
      </c>
      <c r="J18" s="83">
        <v>29.8</v>
      </c>
      <c r="K18" s="82">
        <v>26.64</v>
      </c>
      <c r="L18" s="83">
        <v>25.65</v>
      </c>
      <c r="M18" s="82">
        <v>24.16</v>
      </c>
      <c r="N18" s="83">
        <v>27.96</v>
      </c>
      <c r="O18" s="82">
        <v>19.12</v>
      </c>
      <c r="P18" s="83">
        <v>18.79</v>
      </c>
      <c r="Q18" s="83">
        <v>17.8</v>
      </c>
      <c r="R18" s="84">
        <v>13.59</v>
      </c>
      <c r="S18" s="84">
        <v>12.6</v>
      </c>
      <c r="T18" s="87">
        <v>24.54</v>
      </c>
      <c r="U18" s="86">
        <v>0</v>
      </c>
      <c r="W18" s="136"/>
    </row>
    <row r="19" spans="1:23" ht="12.75">
      <c r="A19" s="1">
        <f t="shared" si="0"/>
        <v>13</v>
      </c>
      <c r="B19" s="94" t="s">
        <v>592</v>
      </c>
      <c r="C19" s="85">
        <v>50.59</v>
      </c>
      <c r="D19" s="86">
        <v>44.69</v>
      </c>
      <c r="E19" s="85">
        <v>25.96</v>
      </c>
      <c r="F19" s="86">
        <v>23.22</v>
      </c>
      <c r="G19" s="85">
        <v>22.23</v>
      </c>
      <c r="H19" s="86">
        <v>18.02</v>
      </c>
      <c r="I19" s="85">
        <v>17.03</v>
      </c>
      <c r="J19" s="86">
        <v>28</v>
      </c>
      <c r="K19" s="85">
        <v>24.83</v>
      </c>
      <c r="L19" s="86">
        <v>23.84</v>
      </c>
      <c r="M19" s="85">
        <v>22.45</v>
      </c>
      <c r="N19" s="86">
        <v>26.25</v>
      </c>
      <c r="O19" s="85">
        <v>19.38</v>
      </c>
      <c r="P19" s="86">
        <v>19.06</v>
      </c>
      <c r="Q19" s="86">
        <v>18.07</v>
      </c>
      <c r="R19" s="87">
        <v>13.86</v>
      </c>
      <c r="S19" s="87">
        <v>12.87</v>
      </c>
      <c r="T19" s="87">
        <v>24.32</v>
      </c>
      <c r="U19" s="86">
        <v>0</v>
      </c>
      <c r="W19" s="136"/>
    </row>
    <row r="20" spans="1:23" ht="12.75">
      <c r="A20" s="1">
        <f t="shared" si="0"/>
        <v>14</v>
      </c>
      <c r="B20" s="93" t="s">
        <v>593</v>
      </c>
      <c r="C20" s="82">
        <v>51.17</v>
      </c>
      <c r="D20" s="83">
        <v>44.77</v>
      </c>
      <c r="E20" s="82">
        <v>26.42</v>
      </c>
      <c r="F20" s="83">
        <v>23.68</v>
      </c>
      <c r="G20" s="82">
        <v>22.69</v>
      </c>
      <c r="H20" s="83">
        <v>18.48</v>
      </c>
      <c r="I20" s="82">
        <v>17.49</v>
      </c>
      <c r="J20" s="83">
        <v>28.46</v>
      </c>
      <c r="K20" s="82">
        <v>25.29</v>
      </c>
      <c r="L20" s="83">
        <v>24.3</v>
      </c>
      <c r="M20" s="82">
        <v>23.02</v>
      </c>
      <c r="N20" s="83">
        <v>26.82</v>
      </c>
      <c r="O20" s="82">
        <v>19.2</v>
      </c>
      <c r="P20" s="83">
        <v>18.87</v>
      </c>
      <c r="Q20" s="83">
        <v>17.88</v>
      </c>
      <c r="R20" s="84">
        <v>13.67</v>
      </c>
      <c r="S20" s="84">
        <v>12.68</v>
      </c>
      <c r="T20" s="87">
        <v>23.39</v>
      </c>
      <c r="U20" s="86">
        <v>0</v>
      </c>
      <c r="W20" s="136"/>
    </row>
    <row r="21" spans="1:23" ht="12.75">
      <c r="A21" s="1">
        <f t="shared" si="0"/>
        <v>15</v>
      </c>
      <c r="B21" s="94" t="s">
        <v>594</v>
      </c>
      <c r="C21" s="85">
        <v>50.05</v>
      </c>
      <c r="D21" s="86">
        <v>43.78</v>
      </c>
      <c r="E21" s="85">
        <v>27.35</v>
      </c>
      <c r="F21" s="86">
        <v>24.62</v>
      </c>
      <c r="G21" s="85">
        <v>23.63</v>
      </c>
      <c r="H21" s="86">
        <v>19.42</v>
      </c>
      <c r="I21" s="85">
        <v>18.43</v>
      </c>
      <c r="J21" s="86">
        <v>29.4</v>
      </c>
      <c r="K21" s="85">
        <v>26.24</v>
      </c>
      <c r="L21" s="86">
        <v>25.25</v>
      </c>
      <c r="M21" s="85">
        <v>24.21</v>
      </c>
      <c r="N21" s="86">
        <v>28.16</v>
      </c>
      <c r="O21" s="85">
        <v>18.8</v>
      </c>
      <c r="P21" s="86">
        <v>18.48</v>
      </c>
      <c r="Q21" s="86">
        <v>17.49</v>
      </c>
      <c r="R21" s="87">
        <v>13.28</v>
      </c>
      <c r="S21" s="87">
        <v>12.29</v>
      </c>
      <c r="T21" s="87">
        <v>21.74</v>
      </c>
      <c r="U21" s="86">
        <v>0</v>
      </c>
      <c r="W21" s="136"/>
    </row>
    <row r="22" spans="1:23" ht="12.75">
      <c r="A22" s="1">
        <f t="shared" si="0"/>
        <v>16</v>
      </c>
      <c r="B22" s="93" t="s">
        <v>595</v>
      </c>
      <c r="C22" s="82">
        <v>50.74</v>
      </c>
      <c r="D22" s="83">
        <v>44.63</v>
      </c>
      <c r="E22" s="82">
        <v>29.3</v>
      </c>
      <c r="F22" s="83">
        <v>26.57</v>
      </c>
      <c r="G22" s="82">
        <v>25.58</v>
      </c>
      <c r="H22" s="83">
        <v>21.37</v>
      </c>
      <c r="I22" s="82">
        <v>20.38</v>
      </c>
      <c r="J22" s="83">
        <v>31.35</v>
      </c>
      <c r="K22" s="82">
        <v>28.19</v>
      </c>
      <c r="L22" s="83">
        <v>27.2</v>
      </c>
      <c r="M22" s="82">
        <v>25.82</v>
      </c>
      <c r="N22" s="83">
        <v>29.77</v>
      </c>
      <c r="O22" s="82">
        <v>19.64</v>
      </c>
      <c r="P22" s="83">
        <v>19.32</v>
      </c>
      <c r="Q22" s="83">
        <v>18.33</v>
      </c>
      <c r="R22" s="84">
        <v>14.12</v>
      </c>
      <c r="S22" s="84">
        <v>13.13</v>
      </c>
      <c r="T22" s="87">
        <v>22.91</v>
      </c>
      <c r="U22" s="86">
        <v>0</v>
      </c>
      <c r="W22" s="136"/>
    </row>
    <row r="23" spans="1:23" ht="12.75">
      <c r="A23" s="1">
        <f t="shared" si="0"/>
        <v>17</v>
      </c>
      <c r="B23" s="94" t="s">
        <v>596</v>
      </c>
      <c r="C23" s="85">
        <v>51.19</v>
      </c>
      <c r="D23" s="86">
        <v>44.88</v>
      </c>
      <c r="E23" s="85">
        <v>29.17</v>
      </c>
      <c r="F23" s="86">
        <v>26.43</v>
      </c>
      <c r="G23" s="85">
        <v>25.44</v>
      </c>
      <c r="H23" s="86">
        <v>21.23</v>
      </c>
      <c r="I23" s="85">
        <v>20.24</v>
      </c>
      <c r="J23" s="86">
        <v>31.23</v>
      </c>
      <c r="K23" s="85">
        <v>28.06</v>
      </c>
      <c r="L23" s="86">
        <v>27.07</v>
      </c>
      <c r="M23" s="85">
        <v>26.5</v>
      </c>
      <c r="N23" s="86">
        <v>30.45</v>
      </c>
      <c r="O23" s="85">
        <v>21.04</v>
      </c>
      <c r="P23" s="86">
        <v>20.72</v>
      </c>
      <c r="Q23" s="86">
        <v>19.73</v>
      </c>
      <c r="R23" s="87">
        <v>15.52</v>
      </c>
      <c r="S23" s="87">
        <v>14.53</v>
      </c>
      <c r="T23" s="87">
        <v>23.71</v>
      </c>
      <c r="U23" s="86">
        <v>0</v>
      </c>
      <c r="W23" s="136"/>
    </row>
    <row r="24" spans="1:23" ht="12.75">
      <c r="A24" s="1">
        <f t="shared" si="0"/>
        <v>18</v>
      </c>
      <c r="B24" s="93" t="s">
        <v>597</v>
      </c>
      <c r="C24" s="82">
        <v>49.17</v>
      </c>
      <c r="D24" s="83">
        <v>43.08</v>
      </c>
      <c r="E24" s="82">
        <v>28.34</v>
      </c>
      <c r="F24" s="83">
        <v>25.61</v>
      </c>
      <c r="G24" s="82">
        <v>24.62</v>
      </c>
      <c r="H24" s="83">
        <v>20.41</v>
      </c>
      <c r="I24" s="82">
        <v>19.42</v>
      </c>
      <c r="J24" s="83">
        <v>30.42</v>
      </c>
      <c r="K24" s="82">
        <v>27.26</v>
      </c>
      <c r="L24" s="83">
        <v>26.27</v>
      </c>
      <c r="M24" s="82">
        <v>25.09</v>
      </c>
      <c r="N24" s="83">
        <v>29.04</v>
      </c>
      <c r="O24" s="82">
        <v>22.07</v>
      </c>
      <c r="P24" s="83">
        <v>21.74</v>
      </c>
      <c r="Q24" s="83">
        <v>20.75</v>
      </c>
      <c r="R24" s="84">
        <v>16.54</v>
      </c>
      <c r="S24" s="84">
        <v>15.55</v>
      </c>
      <c r="T24" s="87">
        <v>23.14</v>
      </c>
      <c r="U24" s="86">
        <v>0</v>
      </c>
      <c r="W24" s="136"/>
    </row>
    <row r="25" spans="1:23" ht="12.75">
      <c r="A25" s="1">
        <f t="shared" si="0"/>
        <v>19</v>
      </c>
      <c r="B25" s="94" t="s">
        <v>598</v>
      </c>
      <c r="C25" s="85">
        <v>49.43</v>
      </c>
      <c r="D25" s="86">
        <v>42.93</v>
      </c>
      <c r="E25" s="85">
        <v>28.58</v>
      </c>
      <c r="F25" s="86">
        <v>25.85</v>
      </c>
      <c r="G25" s="85">
        <v>24.86</v>
      </c>
      <c r="H25" s="86">
        <v>20.65</v>
      </c>
      <c r="I25" s="85">
        <v>19.66</v>
      </c>
      <c r="J25" s="86">
        <v>30.66</v>
      </c>
      <c r="K25" s="85">
        <v>27.5</v>
      </c>
      <c r="L25" s="86">
        <v>26.51</v>
      </c>
      <c r="M25" s="85">
        <v>25.26</v>
      </c>
      <c r="N25" s="86">
        <v>29.21</v>
      </c>
      <c r="O25" s="85">
        <v>23.37</v>
      </c>
      <c r="P25" s="86">
        <v>23.05</v>
      </c>
      <c r="Q25" s="86">
        <v>22.06</v>
      </c>
      <c r="R25" s="87">
        <v>17.85</v>
      </c>
      <c r="S25" s="87">
        <v>16.86</v>
      </c>
      <c r="T25" s="87">
        <v>23.45</v>
      </c>
      <c r="U25" s="86">
        <v>0</v>
      </c>
      <c r="W25" s="136"/>
    </row>
    <row r="26" spans="1:23" ht="12.75">
      <c r="A26" s="1">
        <f t="shared" si="0"/>
        <v>20</v>
      </c>
      <c r="B26" s="93" t="s">
        <v>599</v>
      </c>
      <c r="C26" s="82">
        <v>52.05</v>
      </c>
      <c r="D26" s="83">
        <v>45.65</v>
      </c>
      <c r="E26" s="82">
        <v>30.41</v>
      </c>
      <c r="F26" s="83">
        <v>27.68</v>
      </c>
      <c r="G26" s="82">
        <v>26.69</v>
      </c>
      <c r="H26" s="83">
        <v>22.48</v>
      </c>
      <c r="I26" s="82">
        <v>21.49</v>
      </c>
      <c r="J26" s="83">
        <v>32.5</v>
      </c>
      <c r="K26" s="82">
        <v>29.34</v>
      </c>
      <c r="L26" s="83">
        <v>28.35</v>
      </c>
      <c r="M26" s="82">
        <v>27.11</v>
      </c>
      <c r="N26" s="83">
        <v>31.06</v>
      </c>
      <c r="O26" s="82">
        <v>22.71</v>
      </c>
      <c r="P26" s="83">
        <v>22.39</v>
      </c>
      <c r="Q26" s="83">
        <v>21.4</v>
      </c>
      <c r="R26" s="84">
        <v>17.19</v>
      </c>
      <c r="S26" s="84">
        <v>16.2</v>
      </c>
      <c r="T26" s="87">
        <v>25.55</v>
      </c>
      <c r="U26" s="86">
        <v>0</v>
      </c>
      <c r="W26" s="136"/>
    </row>
    <row r="27" spans="1:23" ht="12.75">
      <c r="A27" s="1">
        <f t="shared" si="0"/>
        <v>21</v>
      </c>
      <c r="B27" s="94" t="s">
        <v>600</v>
      </c>
      <c r="C27" s="85">
        <v>52.22</v>
      </c>
      <c r="D27" s="86">
        <v>46.08</v>
      </c>
      <c r="E27" s="85">
        <v>31.12</v>
      </c>
      <c r="F27" s="86">
        <v>28.38</v>
      </c>
      <c r="G27" s="85">
        <v>27.39</v>
      </c>
      <c r="H27" s="86">
        <v>23.18</v>
      </c>
      <c r="I27" s="85">
        <v>22.19</v>
      </c>
      <c r="J27" s="86">
        <v>33.21</v>
      </c>
      <c r="K27" s="85">
        <v>30.05</v>
      </c>
      <c r="L27" s="86">
        <v>29.06</v>
      </c>
      <c r="M27" s="85">
        <v>27.73</v>
      </c>
      <c r="N27" s="86">
        <v>31.68</v>
      </c>
      <c r="O27" s="85">
        <v>22.79</v>
      </c>
      <c r="P27" s="86">
        <v>22.47</v>
      </c>
      <c r="Q27" s="86">
        <v>21.48</v>
      </c>
      <c r="R27" s="87">
        <v>17.27</v>
      </c>
      <c r="S27" s="87">
        <v>16.28</v>
      </c>
      <c r="T27" s="87">
        <v>0</v>
      </c>
      <c r="U27" s="86">
        <v>25</v>
      </c>
      <c r="W27" s="136"/>
    </row>
    <row r="28" spans="1:23" ht="12.75">
      <c r="A28" s="1">
        <f t="shared" si="0"/>
        <v>22</v>
      </c>
      <c r="B28" s="93" t="s">
        <v>601</v>
      </c>
      <c r="C28" s="82">
        <v>53</v>
      </c>
      <c r="D28" s="83">
        <v>46.97</v>
      </c>
      <c r="E28" s="82">
        <v>31.61</v>
      </c>
      <c r="F28" s="83">
        <v>28.87</v>
      </c>
      <c r="G28" s="82">
        <v>27.88</v>
      </c>
      <c r="H28" s="83">
        <v>23.67</v>
      </c>
      <c r="I28" s="82">
        <v>22.68</v>
      </c>
      <c r="J28" s="83">
        <v>33.76</v>
      </c>
      <c r="K28" s="82">
        <v>30.6</v>
      </c>
      <c r="L28" s="83">
        <v>29.61</v>
      </c>
      <c r="M28" s="82">
        <v>28.3</v>
      </c>
      <c r="N28" s="83">
        <v>32.25</v>
      </c>
      <c r="O28" s="82">
        <v>23.64</v>
      </c>
      <c r="P28" s="83">
        <v>23.31</v>
      </c>
      <c r="Q28" s="83">
        <v>22.32</v>
      </c>
      <c r="R28" s="84">
        <v>18.11</v>
      </c>
      <c r="S28" s="84">
        <v>17.12</v>
      </c>
      <c r="T28" s="84">
        <v>0</v>
      </c>
      <c r="U28" s="86">
        <v>25</v>
      </c>
      <c r="W28" s="136"/>
    </row>
    <row r="29" spans="1:23" ht="12.75">
      <c r="A29" s="1">
        <f t="shared" si="0"/>
        <v>23</v>
      </c>
      <c r="B29" s="94" t="s">
        <v>602</v>
      </c>
      <c r="C29" s="85">
        <v>54.67</v>
      </c>
      <c r="D29" s="86">
        <v>48.42</v>
      </c>
      <c r="E29" s="85">
        <v>32.58</v>
      </c>
      <c r="F29" s="86">
        <v>29.85</v>
      </c>
      <c r="G29" s="85">
        <v>28.86</v>
      </c>
      <c r="H29" s="86">
        <v>24.65</v>
      </c>
      <c r="I29" s="85">
        <v>23.66</v>
      </c>
      <c r="J29" s="86">
        <v>34.74</v>
      </c>
      <c r="K29" s="85">
        <v>31.58</v>
      </c>
      <c r="L29" s="86">
        <v>30.59</v>
      </c>
      <c r="M29" s="85">
        <v>29.16</v>
      </c>
      <c r="N29" s="86">
        <v>33.11</v>
      </c>
      <c r="O29" s="85">
        <v>24.45</v>
      </c>
      <c r="P29" s="86">
        <v>24.13</v>
      </c>
      <c r="Q29" s="86">
        <v>23.14</v>
      </c>
      <c r="R29" s="87">
        <v>18.93</v>
      </c>
      <c r="S29" s="87">
        <v>17.94</v>
      </c>
      <c r="T29" s="87">
        <v>0</v>
      </c>
      <c r="U29" s="86">
        <v>25</v>
      </c>
      <c r="W29" s="136"/>
    </row>
    <row r="30" spans="1:23" ht="12.75">
      <c r="A30" s="1">
        <f t="shared" si="0"/>
        <v>24</v>
      </c>
      <c r="B30" s="93" t="s">
        <v>603</v>
      </c>
      <c r="C30" s="82">
        <v>56.6</v>
      </c>
      <c r="D30" s="83">
        <v>50.2</v>
      </c>
      <c r="E30" s="82">
        <v>33.43</v>
      </c>
      <c r="F30" s="83">
        <v>30.69</v>
      </c>
      <c r="G30" s="82">
        <v>29.7</v>
      </c>
      <c r="H30" s="83">
        <v>25.49</v>
      </c>
      <c r="I30" s="82">
        <v>24.5</v>
      </c>
      <c r="J30" s="83">
        <v>35.59</v>
      </c>
      <c r="K30" s="82">
        <v>32.43</v>
      </c>
      <c r="L30" s="83">
        <v>31.44</v>
      </c>
      <c r="M30" s="82">
        <v>30.25</v>
      </c>
      <c r="N30" s="83">
        <v>34.2</v>
      </c>
      <c r="O30" s="82">
        <v>24.97</v>
      </c>
      <c r="P30" s="83">
        <v>24.65</v>
      </c>
      <c r="Q30" s="83">
        <v>23.66</v>
      </c>
      <c r="R30" s="84">
        <v>19.45</v>
      </c>
      <c r="S30" s="84">
        <v>18.46</v>
      </c>
      <c r="T30" s="84">
        <v>0</v>
      </c>
      <c r="U30" s="86">
        <v>25</v>
      </c>
      <c r="W30" s="136"/>
    </row>
    <row r="31" spans="1:23" ht="12.75">
      <c r="A31" s="1">
        <f t="shared" si="0"/>
        <v>25</v>
      </c>
      <c r="B31" s="94" t="s">
        <v>604</v>
      </c>
      <c r="C31" s="85">
        <v>56.83</v>
      </c>
      <c r="D31" s="86">
        <v>50.31</v>
      </c>
      <c r="E31" s="85">
        <v>34.77</v>
      </c>
      <c r="F31" s="86">
        <v>32.04</v>
      </c>
      <c r="G31" s="85">
        <v>31.05</v>
      </c>
      <c r="H31" s="86">
        <v>26.84</v>
      </c>
      <c r="I31" s="85">
        <v>25.85</v>
      </c>
      <c r="J31" s="86">
        <v>36.96</v>
      </c>
      <c r="K31" s="85">
        <v>33.79</v>
      </c>
      <c r="L31" s="86">
        <v>32.8</v>
      </c>
      <c r="M31" s="85">
        <v>31.74</v>
      </c>
      <c r="N31" s="86">
        <v>35.69</v>
      </c>
      <c r="O31" s="85">
        <v>27.55</v>
      </c>
      <c r="P31" s="86">
        <v>27.23</v>
      </c>
      <c r="Q31" s="86">
        <v>26.24</v>
      </c>
      <c r="R31" s="87">
        <v>22.03</v>
      </c>
      <c r="S31" s="87">
        <v>21.04</v>
      </c>
      <c r="T31" s="87">
        <v>0</v>
      </c>
      <c r="U31" s="86">
        <v>25</v>
      </c>
      <c r="W31" s="136"/>
    </row>
    <row r="32" spans="1:23" ht="12.75">
      <c r="A32" s="1">
        <f t="shared" si="0"/>
        <v>26</v>
      </c>
      <c r="B32" s="93" t="s">
        <v>605</v>
      </c>
      <c r="C32" s="82">
        <v>58.11</v>
      </c>
      <c r="D32" s="83">
        <v>51.78</v>
      </c>
      <c r="E32" s="82">
        <v>35.13</v>
      </c>
      <c r="F32" s="83">
        <v>32.4</v>
      </c>
      <c r="G32" s="82">
        <v>31.41</v>
      </c>
      <c r="H32" s="83">
        <v>27.2</v>
      </c>
      <c r="I32" s="82">
        <v>26.21</v>
      </c>
      <c r="J32" s="83">
        <v>37.3</v>
      </c>
      <c r="K32" s="82">
        <v>34.13</v>
      </c>
      <c r="L32" s="83">
        <v>33.14</v>
      </c>
      <c r="M32" s="82">
        <v>33.77</v>
      </c>
      <c r="N32" s="83">
        <v>37.72</v>
      </c>
      <c r="O32" s="82">
        <v>29.4</v>
      </c>
      <c r="P32" s="83">
        <v>29.07</v>
      </c>
      <c r="Q32" s="83">
        <v>28.08</v>
      </c>
      <c r="R32" s="84">
        <v>23.87</v>
      </c>
      <c r="S32" s="84">
        <v>22.88</v>
      </c>
      <c r="T32" s="84">
        <v>0</v>
      </c>
      <c r="U32" s="86">
        <v>25</v>
      </c>
      <c r="W32" s="136"/>
    </row>
    <row r="33" spans="1:23" ht="12.75">
      <c r="A33" s="1">
        <f t="shared" si="0"/>
        <v>27</v>
      </c>
      <c r="B33" s="94" t="s">
        <v>606</v>
      </c>
      <c r="C33" s="85">
        <v>60.9</v>
      </c>
      <c r="D33" s="86">
        <v>54.45</v>
      </c>
      <c r="E33" s="85">
        <v>36.49</v>
      </c>
      <c r="F33" s="86">
        <v>33.75</v>
      </c>
      <c r="G33" s="85">
        <v>32.76</v>
      </c>
      <c r="H33" s="86">
        <v>28.55</v>
      </c>
      <c r="I33" s="85">
        <v>27.56</v>
      </c>
      <c r="J33" s="86">
        <v>38.66</v>
      </c>
      <c r="K33" s="85">
        <v>35.49</v>
      </c>
      <c r="L33" s="86">
        <v>34.5</v>
      </c>
      <c r="M33" s="85">
        <v>35.25</v>
      </c>
      <c r="N33" s="86">
        <v>39.2</v>
      </c>
      <c r="O33" s="85">
        <v>31.82</v>
      </c>
      <c r="P33" s="86">
        <v>31.49</v>
      </c>
      <c r="Q33" s="86">
        <v>30.5</v>
      </c>
      <c r="R33" s="87">
        <v>26.29</v>
      </c>
      <c r="S33" s="87">
        <v>25.3</v>
      </c>
      <c r="T33" s="87">
        <v>0</v>
      </c>
      <c r="U33" s="86">
        <v>25</v>
      </c>
      <c r="W33" s="136"/>
    </row>
    <row r="34" spans="1:23" ht="12.75">
      <c r="A34" s="1">
        <f t="shared" si="0"/>
        <v>28</v>
      </c>
      <c r="B34" s="93" t="s">
        <v>607</v>
      </c>
      <c r="C34" s="82">
        <v>64.16</v>
      </c>
      <c r="D34" s="83">
        <v>57.61</v>
      </c>
      <c r="E34" s="82">
        <v>37.85</v>
      </c>
      <c r="F34" s="83">
        <v>35.12</v>
      </c>
      <c r="G34" s="82">
        <v>34.13</v>
      </c>
      <c r="H34" s="83">
        <v>29.92</v>
      </c>
      <c r="I34" s="82">
        <v>28.93</v>
      </c>
      <c r="J34" s="83">
        <v>40.03</v>
      </c>
      <c r="K34" s="82">
        <v>36.87</v>
      </c>
      <c r="L34" s="83">
        <v>35.88</v>
      </c>
      <c r="M34" s="82">
        <v>36.33</v>
      </c>
      <c r="N34" s="83">
        <v>40.28</v>
      </c>
      <c r="O34" s="82">
        <v>33.23</v>
      </c>
      <c r="P34" s="83">
        <v>32.9</v>
      </c>
      <c r="Q34" s="83">
        <v>31.91</v>
      </c>
      <c r="R34" s="84">
        <v>27.7</v>
      </c>
      <c r="S34" s="84">
        <v>26.71</v>
      </c>
      <c r="T34" s="84">
        <v>0</v>
      </c>
      <c r="U34" s="86">
        <v>25</v>
      </c>
      <c r="W34" s="136"/>
    </row>
    <row r="35" spans="1:23" ht="12.75">
      <c r="A35" s="1">
        <f t="shared" si="0"/>
        <v>29</v>
      </c>
      <c r="B35" s="94" t="s">
        <v>608</v>
      </c>
      <c r="C35" s="85">
        <v>63.8</v>
      </c>
      <c r="D35" s="86">
        <v>57.12</v>
      </c>
      <c r="E35" s="85">
        <v>38.42</v>
      </c>
      <c r="F35" s="86">
        <v>35.68</v>
      </c>
      <c r="G35" s="85">
        <v>34.69</v>
      </c>
      <c r="H35" s="86">
        <v>29.92</v>
      </c>
      <c r="I35" s="85">
        <v>28.93</v>
      </c>
      <c r="J35" s="86">
        <v>40.6</v>
      </c>
      <c r="K35" s="85">
        <v>37.43</v>
      </c>
      <c r="L35" s="86">
        <v>36.44</v>
      </c>
      <c r="M35" s="85">
        <v>37.34</v>
      </c>
      <c r="N35" s="86">
        <v>41.29</v>
      </c>
      <c r="O35" s="85">
        <v>33.15</v>
      </c>
      <c r="P35" s="86">
        <v>32.83</v>
      </c>
      <c r="Q35" s="86">
        <v>31.84</v>
      </c>
      <c r="R35" s="87">
        <v>27.63</v>
      </c>
      <c r="S35" s="87">
        <v>26.64</v>
      </c>
      <c r="T35" s="87">
        <v>0</v>
      </c>
      <c r="U35" s="86">
        <v>25</v>
      </c>
      <c r="W35" s="136"/>
    </row>
    <row r="36" spans="1:23" ht="12.75">
      <c r="A36" s="1">
        <f t="shared" si="0"/>
        <v>30</v>
      </c>
      <c r="B36" s="93" t="s">
        <v>609</v>
      </c>
      <c r="C36" s="82">
        <v>64.28</v>
      </c>
      <c r="D36" s="83">
        <v>57.36</v>
      </c>
      <c r="E36" s="82">
        <v>39.37</v>
      </c>
      <c r="F36" s="83">
        <v>36.64</v>
      </c>
      <c r="G36" s="82">
        <v>35.65</v>
      </c>
      <c r="H36" s="83">
        <v>31.44</v>
      </c>
      <c r="I36" s="82">
        <v>30.45</v>
      </c>
      <c r="J36" s="83">
        <v>41.57</v>
      </c>
      <c r="K36" s="82">
        <v>38.41</v>
      </c>
      <c r="L36" s="83">
        <v>37.42</v>
      </c>
      <c r="M36" s="82">
        <v>36.38</v>
      </c>
      <c r="N36" s="83">
        <v>40.33</v>
      </c>
      <c r="O36" s="82">
        <v>33.07</v>
      </c>
      <c r="P36" s="83">
        <v>32.74</v>
      </c>
      <c r="Q36" s="83">
        <v>31.75</v>
      </c>
      <c r="R36" s="84">
        <v>27.54</v>
      </c>
      <c r="S36" s="84">
        <v>26.55</v>
      </c>
      <c r="T36" s="84">
        <v>0</v>
      </c>
      <c r="U36" s="86">
        <v>25</v>
      </c>
      <c r="W36" s="136"/>
    </row>
    <row r="37" spans="1:23" ht="12.75">
      <c r="A37" s="1">
        <f t="shared" si="0"/>
        <v>31</v>
      </c>
      <c r="B37" s="94" t="s">
        <v>610</v>
      </c>
      <c r="C37" s="85">
        <v>64.07</v>
      </c>
      <c r="D37" s="86">
        <v>57.17</v>
      </c>
      <c r="E37" s="85">
        <v>40.33</v>
      </c>
      <c r="F37" s="86">
        <v>37.6</v>
      </c>
      <c r="G37" s="85">
        <v>36.61</v>
      </c>
      <c r="H37" s="86">
        <v>32.4</v>
      </c>
      <c r="I37" s="85">
        <v>31.41</v>
      </c>
      <c r="J37" s="86">
        <v>42.57</v>
      </c>
      <c r="K37" s="85">
        <v>39.4</v>
      </c>
      <c r="L37" s="86">
        <v>38.41</v>
      </c>
      <c r="M37" s="85">
        <v>37.52</v>
      </c>
      <c r="N37" s="86">
        <v>41.47</v>
      </c>
      <c r="O37" s="85">
        <v>33.26</v>
      </c>
      <c r="P37" s="86">
        <v>32.93</v>
      </c>
      <c r="Q37" s="86">
        <v>31.94</v>
      </c>
      <c r="R37" s="87">
        <v>27.73</v>
      </c>
      <c r="S37" s="87">
        <v>26.74</v>
      </c>
      <c r="T37" s="87">
        <v>0</v>
      </c>
      <c r="U37" s="86">
        <v>25</v>
      </c>
      <c r="W37" s="136"/>
    </row>
    <row r="38" spans="1:23" ht="12.75">
      <c r="A38" s="1">
        <f t="shared" si="0"/>
        <v>32</v>
      </c>
      <c r="B38" s="93" t="s">
        <v>611</v>
      </c>
      <c r="C38" s="82">
        <v>67.19</v>
      </c>
      <c r="D38" s="83">
        <v>60.13</v>
      </c>
      <c r="E38" s="82">
        <v>41.77</v>
      </c>
      <c r="F38" s="83">
        <v>39.04</v>
      </c>
      <c r="G38" s="82">
        <v>38.05</v>
      </c>
      <c r="H38" s="83">
        <v>33.84</v>
      </c>
      <c r="I38" s="82">
        <v>32.85</v>
      </c>
      <c r="J38" s="83">
        <v>44.01</v>
      </c>
      <c r="K38" s="82">
        <v>40.84</v>
      </c>
      <c r="L38" s="83">
        <v>39.85</v>
      </c>
      <c r="M38" s="82">
        <v>39.16</v>
      </c>
      <c r="N38" s="83">
        <v>43.11</v>
      </c>
      <c r="O38" s="82">
        <v>33.93</v>
      </c>
      <c r="P38" s="83">
        <v>33.61</v>
      </c>
      <c r="Q38" s="83">
        <v>32.62</v>
      </c>
      <c r="R38" s="84">
        <v>28.41</v>
      </c>
      <c r="S38" s="84">
        <v>27.42</v>
      </c>
      <c r="T38" s="84">
        <v>0</v>
      </c>
      <c r="U38" s="86">
        <v>25</v>
      </c>
      <c r="W38" s="136"/>
    </row>
    <row r="39" spans="1:23" ht="12.75">
      <c r="A39" s="1">
        <f t="shared" si="0"/>
        <v>33</v>
      </c>
      <c r="B39" s="94" t="s">
        <v>612</v>
      </c>
      <c r="C39" s="85">
        <v>65.28</v>
      </c>
      <c r="D39" s="86">
        <v>58.47</v>
      </c>
      <c r="E39" s="85">
        <v>40</v>
      </c>
      <c r="F39" s="86">
        <v>36.97</v>
      </c>
      <c r="G39" s="85">
        <v>35.98</v>
      </c>
      <c r="H39" s="86">
        <v>31.77</v>
      </c>
      <c r="I39" s="85">
        <v>30.78</v>
      </c>
      <c r="J39" s="86">
        <v>42.23</v>
      </c>
      <c r="K39" s="85">
        <v>38.76</v>
      </c>
      <c r="L39" s="86">
        <v>37.77</v>
      </c>
      <c r="M39" s="85">
        <v>37.03</v>
      </c>
      <c r="N39" s="86">
        <v>40.98</v>
      </c>
      <c r="O39" s="85">
        <v>32.07</v>
      </c>
      <c r="P39" s="86">
        <v>31.75</v>
      </c>
      <c r="Q39" s="86">
        <v>30.76</v>
      </c>
      <c r="R39" s="87">
        <v>26.55</v>
      </c>
      <c r="S39" s="87">
        <v>25.56</v>
      </c>
      <c r="T39" s="87">
        <v>0</v>
      </c>
      <c r="U39" s="86">
        <v>25</v>
      </c>
      <c r="W39" s="136"/>
    </row>
    <row r="40" spans="1:23" ht="12.75">
      <c r="A40" s="1">
        <f t="shared" si="0"/>
        <v>34</v>
      </c>
      <c r="B40" s="93" t="s">
        <v>613</v>
      </c>
      <c r="C40" s="82">
        <v>68.32</v>
      </c>
      <c r="D40" s="83">
        <v>61.18</v>
      </c>
      <c r="E40" s="82">
        <v>38.86</v>
      </c>
      <c r="F40" s="83">
        <v>35.83</v>
      </c>
      <c r="G40" s="82">
        <v>34.84</v>
      </c>
      <c r="H40" s="83">
        <v>30.63</v>
      </c>
      <c r="I40" s="82">
        <v>29.64</v>
      </c>
      <c r="J40" s="83">
        <v>41.09</v>
      </c>
      <c r="K40" s="82">
        <v>37.62</v>
      </c>
      <c r="L40" s="83">
        <v>36.63</v>
      </c>
      <c r="M40" s="82">
        <v>36.1</v>
      </c>
      <c r="N40" s="83">
        <v>40.05</v>
      </c>
      <c r="O40" s="82">
        <v>32.07</v>
      </c>
      <c r="P40" s="83">
        <v>31.75</v>
      </c>
      <c r="Q40" s="83">
        <v>30.76</v>
      </c>
      <c r="R40" s="84">
        <v>26.55</v>
      </c>
      <c r="S40" s="84">
        <v>25.56</v>
      </c>
      <c r="T40" s="84">
        <v>0</v>
      </c>
      <c r="U40" s="86">
        <v>25</v>
      </c>
      <c r="W40" s="136"/>
    </row>
    <row r="41" spans="1:23" ht="12.75">
      <c r="A41" s="1">
        <f t="shared" si="0"/>
        <v>35</v>
      </c>
      <c r="B41" s="94" t="s">
        <v>614</v>
      </c>
      <c r="C41" s="85">
        <v>66.77</v>
      </c>
      <c r="D41" s="86">
        <v>59.4</v>
      </c>
      <c r="E41" s="85">
        <v>41.03</v>
      </c>
      <c r="F41" s="86">
        <v>38</v>
      </c>
      <c r="G41" s="85">
        <v>37.01</v>
      </c>
      <c r="H41" s="86">
        <v>32.8</v>
      </c>
      <c r="I41" s="85">
        <v>31.81</v>
      </c>
      <c r="J41" s="86">
        <v>43.2</v>
      </c>
      <c r="K41" s="85">
        <v>39.74</v>
      </c>
      <c r="L41" s="86">
        <v>38.75</v>
      </c>
      <c r="M41" s="85">
        <v>38.09</v>
      </c>
      <c r="N41" s="86">
        <v>42.04</v>
      </c>
      <c r="O41" s="85">
        <v>32.52</v>
      </c>
      <c r="P41" s="86">
        <v>32.19</v>
      </c>
      <c r="Q41" s="86">
        <v>31.2</v>
      </c>
      <c r="R41" s="87">
        <v>26.99</v>
      </c>
      <c r="S41" s="87">
        <v>26</v>
      </c>
      <c r="T41" s="87">
        <v>0</v>
      </c>
      <c r="U41" s="86">
        <v>25</v>
      </c>
      <c r="W41" s="136"/>
    </row>
    <row r="42" spans="1:23" ht="12.75">
      <c r="A42" s="1">
        <f t="shared" si="0"/>
        <v>36</v>
      </c>
      <c r="B42" s="93" t="s">
        <v>615</v>
      </c>
      <c r="C42" s="82">
        <v>60.14</v>
      </c>
      <c r="D42" s="83">
        <v>52.51</v>
      </c>
      <c r="E42" s="82">
        <v>36.11</v>
      </c>
      <c r="F42" s="83">
        <v>32.62</v>
      </c>
      <c r="G42" s="82">
        <v>31.63</v>
      </c>
      <c r="H42" s="83">
        <v>26.92</v>
      </c>
      <c r="I42" s="82">
        <v>25.93</v>
      </c>
      <c r="J42" s="83">
        <v>38.4</v>
      </c>
      <c r="K42" s="82">
        <v>34.41</v>
      </c>
      <c r="L42" s="83">
        <v>33.42</v>
      </c>
      <c r="M42" s="82">
        <v>32.79</v>
      </c>
      <c r="N42" s="83">
        <v>36.52</v>
      </c>
      <c r="O42" s="82">
        <v>28.1</v>
      </c>
      <c r="P42" s="83">
        <v>27.73</v>
      </c>
      <c r="Q42" s="83">
        <v>26.74</v>
      </c>
      <c r="R42" s="84">
        <v>22.23</v>
      </c>
      <c r="S42" s="84">
        <v>21.24</v>
      </c>
      <c r="T42" s="84">
        <v>0</v>
      </c>
      <c r="U42" s="86">
        <v>25</v>
      </c>
      <c r="W42" s="136"/>
    </row>
    <row r="43" spans="1:23" ht="12.75">
      <c r="A43" s="1">
        <f t="shared" si="0"/>
        <v>37</v>
      </c>
      <c r="B43" s="94" t="s">
        <v>616</v>
      </c>
      <c r="C43" s="85">
        <v>63.8</v>
      </c>
      <c r="D43" s="86">
        <v>55.63</v>
      </c>
      <c r="E43" s="85">
        <v>37</v>
      </c>
      <c r="F43" s="86">
        <v>33.5</v>
      </c>
      <c r="G43" s="85">
        <v>32.51</v>
      </c>
      <c r="H43" s="86">
        <v>27.8</v>
      </c>
      <c r="I43" s="85">
        <v>26.81</v>
      </c>
      <c r="J43" s="86">
        <v>39.29</v>
      </c>
      <c r="K43" s="85">
        <v>35.3</v>
      </c>
      <c r="L43" s="86">
        <v>34.31</v>
      </c>
      <c r="M43" s="85">
        <v>33.65</v>
      </c>
      <c r="N43" s="86">
        <v>37.38</v>
      </c>
      <c r="O43" s="85">
        <v>27.99</v>
      </c>
      <c r="P43" s="86">
        <v>27.61</v>
      </c>
      <c r="Q43" s="86">
        <v>26.62</v>
      </c>
      <c r="R43" s="87">
        <v>22.11</v>
      </c>
      <c r="S43" s="87">
        <v>21.12</v>
      </c>
      <c r="T43" s="87">
        <v>0</v>
      </c>
      <c r="U43" s="86">
        <v>25</v>
      </c>
      <c r="W43" s="136"/>
    </row>
    <row r="44" spans="1:23" ht="12.75">
      <c r="A44" s="1">
        <f t="shared" si="0"/>
        <v>38</v>
      </c>
      <c r="B44" s="93" t="s">
        <v>617</v>
      </c>
      <c r="C44" s="82">
        <v>62.52</v>
      </c>
      <c r="D44" s="83">
        <v>54.58</v>
      </c>
      <c r="E44" s="82">
        <v>37.06</v>
      </c>
      <c r="F44" s="83">
        <v>33.57</v>
      </c>
      <c r="G44" s="82">
        <v>32.58</v>
      </c>
      <c r="H44" s="83">
        <v>27.87</v>
      </c>
      <c r="I44" s="82">
        <v>26.88</v>
      </c>
      <c r="J44" s="83">
        <v>39.36</v>
      </c>
      <c r="K44" s="82">
        <v>35.38</v>
      </c>
      <c r="L44" s="83">
        <v>34.39</v>
      </c>
      <c r="M44" s="82">
        <v>33.75</v>
      </c>
      <c r="N44" s="83">
        <v>37.48</v>
      </c>
      <c r="O44" s="82">
        <v>28.2</v>
      </c>
      <c r="P44" s="83">
        <v>27.83</v>
      </c>
      <c r="Q44" s="83">
        <v>26.84</v>
      </c>
      <c r="R44" s="84">
        <v>22.33</v>
      </c>
      <c r="S44" s="84">
        <v>21.34</v>
      </c>
      <c r="T44" s="84">
        <v>0</v>
      </c>
      <c r="U44" s="86">
        <v>25</v>
      </c>
      <c r="W44" s="136"/>
    </row>
    <row r="45" spans="1:23" ht="12.75">
      <c r="A45" s="1">
        <f t="shared" si="0"/>
        <v>39</v>
      </c>
      <c r="B45" s="94" t="s">
        <v>618</v>
      </c>
      <c r="C45" s="85">
        <v>59.5</v>
      </c>
      <c r="D45" s="86">
        <v>52.01</v>
      </c>
      <c r="E45" s="85">
        <v>37.11</v>
      </c>
      <c r="F45" s="86">
        <v>33.61</v>
      </c>
      <c r="G45" s="85">
        <v>32.62</v>
      </c>
      <c r="H45" s="86">
        <v>27.66</v>
      </c>
      <c r="I45" s="85">
        <v>26.67</v>
      </c>
      <c r="J45" s="86">
        <v>39.41</v>
      </c>
      <c r="K45" s="85">
        <v>35.43</v>
      </c>
      <c r="L45" s="86">
        <v>34.44</v>
      </c>
      <c r="M45" s="85">
        <v>33.94</v>
      </c>
      <c r="N45" s="86">
        <v>37.67</v>
      </c>
      <c r="O45" s="85">
        <v>28.83</v>
      </c>
      <c r="P45" s="86">
        <v>28.45</v>
      </c>
      <c r="Q45" s="86">
        <v>27.46</v>
      </c>
      <c r="R45" s="87">
        <v>22.7</v>
      </c>
      <c r="S45" s="87">
        <v>21.71</v>
      </c>
      <c r="T45" s="87">
        <v>0</v>
      </c>
      <c r="U45" s="86">
        <v>25</v>
      </c>
      <c r="W45" s="136"/>
    </row>
    <row r="46" spans="1:23" ht="12.75">
      <c r="A46" s="1">
        <f t="shared" si="0"/>
        <v>40</v>
      </c>
      <c r="B46" s="93" t="s">
        <v>619</v>
      </c>
      <c r="C46" s="82">
        <v>61.05</v>
      </c>
      <c r="D46" s="83">
        <v>53.31</v>
      </c>
      <c r="E46" s="82">
        <v>39.1</v>
      </c>
      <c r="F46" s="83">
        <v>35.61</v>
      </c>
      <c r="G46" s="82">
        <v>34.62</v>
      </c>
      <c r="H46" s="83">
        <v>29.66</v>
      </c>
      <c r="I46" s="82">
        <v>28.57</v>
      </c>
      <c r="J46" s="83">
        <v>41.4</v>
      </c>
      <c r="K46" s="82">
        <v>37.42</v>
      </c>
      <c r="L46" s="83">
        <v>36.43</v>
      </c>
      <c r="M46" s="82">
        <v>35.84</v>
      </c>
      <c r="N46" s="83">
        <v>39.57</v>
      </c>
      <c r="O46" s="82">
        <v>29.79</v>
      </c>
      <c r="P46" s="83">
        <v>29.42</v>
      </c>
      <c r="Q46" s="83">
        <v>28.43</v>
      </c>
      <c r="R46" s="84">
        <v>23.67</v>
      </c>
      <c r="S46" s="84">
        <v>22.68</v>
      </c>
      <c r="T46" s="84">
        <v>0</v>
      </c>
      <c r="U46" s="86">
        <v>25</v>
      </c>
      <c r="W46" s="136"/>
    </row>
    <row r="47" spans="1:23" ht="12.75">
      <c r="A47" s="1">
        <f t="shared" si="0"/>
        <v>41</v>
      </c>
      <c r="B47" s="94" t="s">
        <v>620</v>
      </c>
      <c r="C47" s="85">
        <v>65.3</v>
      </c>
      <c r="D47" s="86">
        <v>57.69</v>
      </c>
      <c r="E47" s="85">
        <v>41.77</v>
      </c>
      <c r="F47" s="86">
        <v>38.28</v>
      </c>
      <c r="G47" s="85">
        <v>37.29</v>
      </c>
      <c r="H47" s="86">
        <v>32.33</v>
      </c>
      <c r="I47" s="85">
        <v>31.34</v>
      </c>
      <c r="J47" s="86">
        <v>44.09</v>
      </c>
      <c r="K47" s="85">
        <v>40.1</v>
      </c>
      <c r="L47" s="86">
        <v>39.11</v>
      </c>
      <c r="M47" s="85">
        <v>38.74</v>
      </c>
      <c r="N47" s="86">
        <v>42.47</v>
      </c>
      <c r="O47" s="85">
        <v>31.57</v>
      </c>
      <c r="P47" s="86">
        <v>31.2</v>
      </c>
      <c r="Q47" s="86">
        <v>30.21</v>
      </c>
      <c r="R47" s="87">
        <v>25.45</v>
      </c>
      <c r="S47" s="87">
        <v>24.46</v>
      </c>
      <c r="T47" s="87">
        <v>0</v>
      </c>
      <c r="U47" s="86">
        <v>25</v>
      </c>
      <c r="W47" s="136"/>
    </row>
    <row r="48" spans="1:23" ht="12.75">
      <c r="A48" s="1">
        <f t="shared" si="0"/>
        <v>42</v>
      </c>
      <c r="B48" s="93" t="s">
        <v>621</v>
      </c>
      <c r="C48" s="82">
        <v>66.4</v>
      </c>
      <c r="D48" s="83">
        <v>58.61</v>
      </c>
      <c r="E48" s="82">
        <v>43.94</v>
      </c>
      <c r="F48" s="83">
        <v>40.45</v>
      </c>
      <c r="G48" s="82">
        <v>39.46</v>
      </c>
      <c r="H48" s="83">
        <v>34.5</v>
      </c>
      <c r="I48" s="82">
        <v>33.51</v>
      </c>
      <c r="J48" s="83">
        <v>46.26</v>
      </c>
      <c r="K48" s="82">
        <v>42.27</v>
      </c>
      <c r="L48" s="83">
        <v>41.28</v>
      </c>
      <c r="M48" s="82">
        <v>40.81</v>
      </c>
      <c r="N48" s="83">
        <v>44.54</v>
      </c>
      <c r="O48" s="82">
        <v>32.99</v>
      </c>
      <c r="P48" s="83">
        <v>32.62</v>
      </c>
      <c r="Q48" s="83">
        <v>31.63</v>
      </c>
      <c r="R48" s="84">
        <v>26.87</v>
      </c>
      <c r="S48" s="84">
        <v>25.88</v>
      </c>
      <c r="T48" s="84">
        <v>0</v>
      </c>
      <c r="U48" s="86">
        <v>25</v>
      </c>
      <c r="W48" s="136"/>
    </row>
    <row r="49" spans="1:23" ht="12.75">
      <c r="A49" s="1">
        <f t="shared" si="0"/>
        <v>43</v>
      </c>
      <c r="B49" s="94" t="s">
        <v>622</v>
      </c>
      <c r="C49" s="85">
        <v>65.22</v>
      </c>
      <c r="D49" s="86">
        <v>57.75</v>
      </c>
      <c r="E49" s="85">
        <v>43.35</v>
      </c>
      <c r="F49" s="86">
        <v>39.85</v>
      </c>
      <c r="G49" s="85">
        <v>38.86</v>
      </c>
      <c r="H49" s="86">
        <v>33.4</v>
      </c>
      <c r="I49" s="85">
        <v>32.41</v>
      </c>
      <c r="J49" s="86">
        <v>45.67</v>
      </c>
      <c r="K49" s="85">
        <v>41.42</v>
      </c>
      <c r="L49" s="86">
        <v>40.43</v>
      </c>
      <c r="M49" s="85">
        <v>39.87</v>
      </c>
      <c r="N49" s="86">
        <v>44.03</v>
      </c>
      <c r="O49" s="85">
        <v>32.93</v>
      </c>
      <c r="P49" s="86">
        <v>32.55</v>
      </c>
      <c r="Q49" s="86">
        <v>31.56</v>
      </c>
      <c r="R49" s="87">
        <v>26.3</v>
      </c>
      <c r="S49" s="87">
        <v>25.31</v>
      </c>
      <c r="T49" s="87">
        <v>0</v>
      </c>
      <c r="U49" s="86">
        <v>25</v>
      </c>
      <c r="W49" s="136"/>
    </row>
    <row r="50" spans="1:23" ht="12.75">
      <c r="A50" s="1">
        <f t="shared" si="0"/>
        <v>44</v>
      </c>
      <c r="B50" s="93" t="s">
        <v>623</v>
      </c>
      <c r="C50" s="82">
        <v>70.15</v>
      </c>
      <c r="D50" s="83">
        <v>62.07</v>
      </c>
      <c r="E50" s="82">
        <v>44.8</v>
      </c>
      <c r="F50" s="83">
        <v>41.31</v>
      </c>
      <c r="G50" s="82">
        <v>40.32</v>
      </c>
      <c r="H50" s="83">
        <v>34.86</v>
      </c>
      <c r="I50" s="82">
        <v>33.87</v>
      </c>
      <c r="J50" s="83">
        <v>47.15</v>
      </c>
      <c r="K50" s="82">
        <v>43.17</v>
      </c>
      <c r="L50" s="83">
        <v>42.18</v>
      </c>
      <c r="M50" s="82">
        <v>41.39</v>
      </c>
      <c r="N50" s="83">
        <v>45.55</v>
      </c>
      <c r="O50" s="82">
        <v>34.13</v>
      </c>
      <c r="P50" s="83">
        <v>33.76</v>
      </c>
      <c r="Q50" s="83">
        <v>32.77</v>
      </c>
      <c r="R50" s="84">
        <v>27.51</v>
      </c>
      <c r="S50" s="84">
        <v>26.52</v>
      </c>
      <c r="T50" s="84">
        <v>0</v>
      </c>
      <c r="U50" s="86">
        <v>25</v>
      </c>
      <c r="W50" s="136"/>
    </row>
    <row r="51" spans="1:23" ht="12.75">
      <c r="A51" s="1">
        <f t="shared" si="0"/>
        <v>45</v>
      </c>
      <c r="B51" s="94" t="s">
        <v>624</v>
      </c>
      <c r="C51" s="85">
        <v>69.04</v>
      </c>
      <c r="D51" s="86">
        <v>61.6</v>
      </c>
      <c r="E51" s="85">
        <v>47.03</v>
      </c>
      <c r="F51" s="86">
        <v>43.53</v>
      </c>
      <c r="G51" s="85">
        <v>42.54</v>
      </c>
      <c r="H51" s="86">
        <v>37.08</v>
      </c>
      <c r="I51" s="85">
        <v>36.09</v>
      </c>
      <c r="J51" s="86">
        <v>49.4</v>
      </c>
      <c r="K51" s="85">
        <v>45.42</v>
      </c>
      <c r="L51" s="86">
        <v>44.43</v>
      </c>
      <c r="M51" s="85">
        <v>43.71</v>
      </c>
      <c r="N51" s="86">
        <v>47.87</v>
      </c>
      <c r="O51" s="85">
        <v>35.85</v>
      </c>
      <c r="P51" s="86">
        <v>35.48</v>
      </c>
      <c r="Q51" s="86">
        <v>34.49</v>
      </c>
      <c r="R51" s="87">
        <v>29.23</v>
      </c>
      <c r="S51" s="87">
        <v>28.24</v>
      </c>
      <c r="T51" s="87">
        <v>0</v>
      </c>
      <c r="U51" s="86">
        <v>25</v>
      </c>
      <c r="W51" s="136"/>
    </row>
    <row r="52" spans="1:23" ht="12.75">
      <c r="A52" s="1">
        <f t="shared" si="0"/>
        <v>46</v>
      </c>
      <c r="B52" s="93" t="s">
        <v>625</v>
      </c>
      <c r="C52" s="82">
        <v>68.48</v>
      </c>
      <c r="D52" s="83">
        <v>61.45</v>
      </c>
      <c r="E52" s="82">
        <v>47.45</v>
      </c>
      <c r="F52" s="83">
        <v>43.96</v>
      </c>
      <c r="G52" s="82">
        <v>42.97</v>
      </c>
      <c r="H52" s="83">
        <v>37.51</v>
      </c>
      <c r="I52" s="82">
        <v>36.52</v>
      </c>
      <c r="J52" s="83">
        <v>49.81</v>
      </c>
      <c r="K52" s="82">
        <v>45.83</v>
      </c>
      <c r="L52" s="83">
        <v>44.84</v>
      </c>
      <c r="M52" s="82">
        <v>43.9</v>
      </c>
      <c r="N52" s="83">
        <v>48.06</v>
      </c>
      <c r="O52" s="82">
        <v>35.05</v>
      </c>
      <c r="P52" s="83">
        <v>34.68</v>
      </c>
      <c r="Q52" s="83">
        <v>33.69</v>
      </c>
      <c r="R52" s="84">
        <v>28.43</v>
      </c>
      <c r="S52" s="84">
        <v>27.44</v>
      </c>
      <c r="T52" s="84">
        <v>0</v>
      </c>
      <c r="U52" s="86">
        <v>25</v>
      </c>
      <c r="W52" s="136"/>
    </row>
    <row r="53" spans="1:23" ht="12.75">
      <c r="A53" s="1">
        <f t="shared" si="0"/>
        <v>47</v>
      </c>
      <c r="B53" s="94" t="s">
        <v>626</v>
      </c>
      <c r="C53" s="85">
        <v>73.85</v>
      </c>
      <c r="D53" s="86">
        <v>66.77</v>
      </c>
      <c r="E53" s="85">
        <v>51.98</v>
      </c>
      <c r="F53" s="86">
        <v>48.49</v>
      </c>
      <c r="G53" s="85">
        <v>47.5</v>
      </c>
      <c r="H53" s="86">
        <v>41.86</v>
      </c>
      <c r="I53" s="85">
        <v>40.87</v>
      </c>
      <c r="J53" s="86">
        <v>54.47</v>
      </c>
      <c r="K53" s="85">
        <v>50.49</v>
      </c>
      <c r="L53" s="86">
        <v>49.5</v>
      </c>
      <c r="M53" s="85">
        <v>48.32</v>
      </c>
      <c r="N53" s="86">
        <v>52.67</v>
      </c>
      <c r="O53" s="85">
        <v>38.47</v>
      </c>
      <c r="P53" s="86">
        <v>38.1</v>
      </c>
      <c r="Q53" s="86">
        <v>37.11</v>
      </c>
      <c r="R53" s="87">
        <v>31.66</v>
      </c>
      <c r="S53" s="87">
        <v>30.67</v>
      </c>
      <c r="T53" s="87">
        <v>0</v>
      </c>
      <c r="U53" s="86">
        <v>25</v>
      </c>
      <c r="W53" s="136"/>
    </row>
    <row r="54" spans="1:23" ht="12.75">
      <c r="A54" s="1">
        <f t="shared" si="0"/>
        <v>48</v>
      </c>
      <c r="B54" s="93" t="s">
        <v>627</v>
      </c>
      <c r="C54" s="82">
        <v>72.22</v>
      </c>
      <c r="D54" s="83">
        <v>64.97</v>
      </c>
      <c r="E54" s="82">
        <v>50.8</v>
      </c>
      <c r="F54" s="83">
        <v>47.31</v>
      </c>
      <c r="G54" s="82">
        <v>46.32</v>
      </c>
      <c r="H54" s="83">
        <v>40.68</v>
      </c>
      <c r="I54" s="82">
        <v>39.69</v>
      </c>
      <c r="J54" s="83">
        <v>53.57</v>
      </c>
      <c r="K54" s="82">
        <v>49.59</v>
      </c>
      <c r="L54" s="83">
        <v>48.6</v>
      </c>
      <c r="M54" s="82">
        <v>47.54</v>
      </c>
      <c r="N54" s="83">
        <v>52.08</v>
      </c>
      <c r="O54" s="82">
        <v>36.44</v>
      </c>
      <c r="P54" s="83">
        <v>36.06</v>
      </c>
      <c r="Q54" s="83">
        <v>35.07</v>
      </c>
      <c r="R54" s="84">
        <v>29.43</v>
      </c>
      <c r="S54" s="84">
        <v>28.44</v>
      </c>
      <c r="T54" s="84">
        <v>0</v>
      </c>
      <c r="U54" s="86">
        <v>25</v>
      </c>
      <c r="W54" s="136"/>
    </row>
    <row r="55" spans="1:23" ht="12.75">
      <c r="A55" s="1">
        <f t="shared" si="0"/>
        <v>49</v>
      </c>
      <c r="B55" s="94" t="s">
        <v>628</v>
      </c>
      <c r="C55" s="85">
        <v>73.64</v>
      </c>
      <c r="D55" s="86">
        <v>66.38</v>
      </c>
      <c r="E55" s="85">
        <v>52.22</v>
      </c>
      <c r="F55" s="86">
        <v>48.72</v>
      </c>
      <c r="G55" s="85">
        <v>47.73</v>
      </c>
      <c r="H55" s="86">
        <v>42.09</v>
      </c>
      <c r="I55" s="85">
        <v>41.1</v>
      </c>
      <c r="J55" s="86">
        <v>54.99</v>
      </c>
      <c r="K55" s="85">
        <v>51</v>
      </c>
      <c r="L55" s="86">
        <v>50.01</v>
      </c>
      <c r="M55" s="85">
        <v>49.55</v>
      </c>
      <c r="N55" s="86">
        <v>54.09</v>
      </c>
      <c r="O55" s="85">
        <v>36.41</v>
      </c>
      <c r="P55" s="86">
        <v>36.04</v>
      </c>
      <c r="Q55" s="86">
        <v>35.05</v>
      </c>
      <c r="R55" s="87">
        <v>29.41</v>
      </c>
      <c r="S55" s="87">
        <v>28.42</v>
      </c>
      <c r="T55" s="87">
        <v>0</v>
      </c>
      <c r="U55" s="86">
        <v>25</v>
      </c>
      <c r="W55" s="136"/>
    </row>
    <row r="56" spans="1:23" ht="12.75">
      <c r="A56" s="1">
        <f t="shared" si="0"/>
        <v>50</v>
      </c>
      <c r="B56" s="93" t="s">
        <v>629</v>
      </c>
      <c r="C56" s="82">
        <v>71.21</v>
      </c>
      <c r="D56" s="83">
        <v>64.2</v>
      </c>
      <c r="E56" s="82">
        <v>50.2</v>
      </c>
      <c r="F56" s="83">
        <v>46.36</v>
      </c>
      <c r="G56" s="82">
        <v>44.92</v>
      </c>
      <c r="H56" s="83">
        <v>39.73</v>
      </c>
      <c r="I56" s="82">
        <v>38.29</v>
      </c>
      <c r="J56" s="83">
        <v>52.94</v>
      </c>
      <c r="K56" s="82">
        <v>48.61</v>
      </c>
      <c r="L56" s="83">
        <v>47.17</v>
      </c>
      <c r="M56" s="82">
        <v>46.31</v>
      </c>
      <c r="N56" s="83">
        <v>50.85</v>
      </c>
      <c r="O56" s="82">
        <v>34.89</v>
      </c>
      <c r="P56" s="83">
        <v>34.51</v>
      </c>
      <c r="Q56" s="83">
        <v>33.07</v>
      </c>
      <c r="R56" s="84">
        <v>27.88</v>
      </c>
      <c r="S56" s="84">
        <v>26.44</v>
      </c>
      <c r="T56" s="84">
        <v>0</v>
      </c>
      <c r="U56" s="86">
        <v>25</v>
      </c>
      <c r="W56" s="136"/>
    </row>
    <row r="57" spans="1:23" ht="12.75">
      <c r="A57" s="1">
        <f t="shared" si="0"/>
        <v>51</v>
      </c>
      <c r="B57" s="94" t="s">
        <v>630</v>
      </c>
      <c r="C57" s="85">
        <v>72.37</v>
      </c>
      <c r="D57" s="86">
        <v>65.2</v>
      </c>
      <c r="E57" s="85">
        <v>49.85</v>
      </c>
      <c r="F57" s="86">
        <v>46.01</v>
      </c>
      <c r="G57" s="85">
        <v>44.57</v>
      </c>
      <c r="H57" s="86">
        <v>39.38</v>
      </c>
      <c r="I57" s="85">
        <v>37.94</v>
      </c>
      <c r="J57" s="86">
        <v>52.58</v>
      </c>
      <c r="K57" s="85">
        <v>48.24</v>
      </c>
      <c r="L57" s="86">
        <v>46.8</v>
      </c>
      <c r="M57" s="85">
        <v>45.4</v>
      </c>
      <c r="N57" s="86">
        <v>49.94</v>
      </c>
      <c r="O57" s="85">
        <v>33.25</v>
      </c>
      <c r="P57" s="86">
        <v>32.88</v>
      </c>
      <c r="Q57" s="86">
        <v>31.44</v>
      </c>
      <c r="R57" s="87">
        <v>26.25</v>
      </c>
      <c r="S57" s="87">
        <v>24.81</v>
      </c>
      <c r="T57" s="87">
        <v>0</v>
      </c>
      <c r="U57" s="86">
        <v>25</v>
      </c>
      <c r="W57" s="136"/>
    </row>
    <row r="58" spans="1:23" ht="12.75">
      <c r="A58" s="1">
        <f>A57+1</f>
        <v>52</v>
      </c>
      <c r="B58" s="95" t="s">
        <v>661</v>
      </c>
      <c r="C58" s="88">
        <v>71.48</v>
      </c>
      <c r="D58" s="89">
        <v>64.09</v>
      </c>
      <c r="E58" s="88">
        <v>47.4</v>
      </c>
      <c r="F58" s="89">
        <v>43.16</v>
      </c>
      <c r="G58" s="88">
        <v>41.62</v>
      </c>
      <c r="H58" s="89">
        <v>36.53</v>
      </c>
      <c r="I58" s="88">
        <v>34.99</v>
      </c>
      <c r="J58" s="89">
        <v>50.12</v>
      </c>
      <c r="K58" s="88">
        <v>45.38</v>
      </c>
      <c r="L58" s="89">
        <v>43.84</v>
      </c>
      <c r="M58" s="88">
        <v>43.12</v>
      </c>
      <c r="N58" s="89">
        <v>47.66</v>
      </c>
      <c r="O58" s="88">
        <v>31.06</v>
      </c>
      <c r="P58" s="89">
        <v>30.69</v>
      </c>
      <c r="Q58" s="89">
        <v>29.15</v>
      </c>
      <c r="R58" s="90">
        <v>24.06</v>
      </c>
      <c r="S58" s="90">
        <v>22.52</v>
      </c>
      <c r="T58" s="90">
        <v>0</v>
      </c>
      <c r="U58" s="89">
        <v>25</v>
      </c>
      <c r="W58" s="136"/>
    </row>
    <row r="59" spans="2:21" ht="13.5" thickBot="1">
      <c r="B59" s="91"/>
      <c r="C59" s="108">
        <f>SUM(C7:C58)/52</f>
        <v>59.23365384615384</v>
      </c>
      <c r="D59" s="108">
        <f aca="true" t="shared" si="1" ref="D59:S59">SUM(D7:D58)/52</f>
        <v>52.607884615384606</v>
      </c>
      <c r="E59" s="108">
        <f t="shared" si="1"/>
        <v>35.961153846153834</v>
      </c>
      <c r="F59" s="108">
        <f t="shared" si="1"/>
        <v>32.93384615384615</v>
      </c>
      <c r="G59" s="108">
        <f t="shared" si="1"/>
        <v>31.966730769230757</v>
      </c>
      <c r="H59" s="108">
        <f t="shared" si="1"/>
        <v>27.37538461538461</v>
      </c>
      <c r="I59" s="108">
        <f t="shared" si="1"/>
        <v>26.406346153846144</v>
      </c>
      <c r="J59" s="108">
        <f t="shared" si="1"/>
        <v>38.19192307692308</v>
      </c>
      <c r="K59" s="108">
        <f t="shared" si="1"/>
        <v>34.70942307692308</v>
      </c>
      <c r="L59" s="108">
        <f t="shared" si="1"/>
        <v>33.74230769230769</v>
      </c>
      <c r="M59" s="108">
        <f t="shared" si="1"/>
        <v>32.794423076923074</v>
      </c>
      <c r="N59" s="108">
        <f t="shared" si="1"/>
        <v>36.754999999999995</v>
      </c>
      <c r="O59" s="108">
        <f t="shared" si="1"/>
        <v>27.215576923076927</v>
      </c>
      <c r="P59" s="108">
        <f t="shared" si="1"/>
        <v>26.876153846153848</v>
      </c>
      <c r="Q59" s="108">
        <f t="shared" si="1"/>
        <v>25.909038461538465</v>
      </c>
      <c r="R59" s="108">
        <f t="shared" si="1"/>
        <v>21.374423076923076</v>
      </c>
      <c r="S59" s="108">
        <f t="shared" si="1"/>
        <v>20.40730769230769</v>
      </c>
      <c r="T59" s="108">
        <f>SUM(T7:T58)/20</f>
        <v>23.926</v>
      </c>
      <c r="U59" s="108">
        <f>SUM(U7:U58)/32</f>
        <v>25</v>
      </c>
    </row>
    <row r="60" ht="13.5" thickTop="1"/>
  </sheetData>
  <sheetProtection/>
  <mergeCells count="5">
    <mergeCell ref="A1:U1"/>
    <mergeCell ref="A3:U3"/>
    <mergeCell ref="W7:W58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11.421875" defaultRowHeight="12.75" outlineLevelRow="1"/>
  <cols>
    <col min="1" max="1" width="3.00390625" style="0" bestFit="1" customWidth="1"/>
    <col min="2" max="2" width="23.4218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7.7109375" style="0" bestFit="1" customWidth="1"/>
    <col min="17" max="17" width="8.7109375" style="0" bestFit="1" customWidth="1"/>
    <col min="18" max="18" width="7.7109375" style="0" bestFit="1" customWidth="1"/>
    <col min="19" max="19" width="7.57421875" style="0" customWidth="1"/>
    <col min="20" max="20" width="10.140625" style="0" customWidth="1"/>
    <col min="21" max="21" width="10.14062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19" ht="12.75">
      <c r="B5" s="14" t="s">
        <v>74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2:21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17</v>
      </c>
      <c r="U6" s="15" t="s">
        <v>18</v>
      </c>
    </row>
    <row r="7" spans="1:21" ht="12.75" outlineLevel="1">
      <c r="A7" s="1">
        <v>1</v>
      </c>
      <c r="B7" s="4" t="s">
        <v>631</v>
      </c>
      <c r="C7" s="8">
        <v>74.95</v>
      </c>
      <c r="D7" s="8">
        <v>66.89</v>
      </c>
      <c r="E7" s="8">
        <v>48.87</v>
      </c>
      <c r="F7" s="8">
        <v>44.63</v>
      </c>
      <c r="G7" s="8">
        <v>43.09</v>
      </c>
      <c r="H7" s="8">
        <v>38</v>
      </c>
      <c r="I7" s="8">
        <v>36.46</v>
      </c>
      <c r="J7" s="8">
        <v>51.58</v>
      </c>
      <c r="K7" s="8">
        <v>46.85</v>
      </c>
      <c r="L7" s="8">
        <v>45.31</v>
      </c>
      <c r="M7" s="8">
        <v>44.38</v>
      </c>
      <c r="N7" s="8">
        <v>48.92</v>
      </c>
      <c r="O7" s="8">
        <v>31.91</v>
      </c>
      <c r="P7" s="8">
        <v>31.53</v>
      </c>
      <c r="Q7" s="8">
        <v>29.99</v>
      </c>
      <c r="R7" s="8">
        <v>24.9</v>
      </c>
      <c r="S7" s="8">
        <v>23.36</v>
      </c>
      <c r="T7" s="6">
        <v>25</v>
      </c>
      <c r="U7" s="9">
        <v>0</v>
      </c>
    </row>
    <row r="8" spans="1:21" ht="12.75" outlineLevel="1">
      <c r="A8" s="1">
        <f aca="true" t="shared" si="0" ref="A8:A58">A7+1</f>
        <v>2</v>
      </c>
      <c r="B8" s="4" t="s">
        <v>76</v>
      </c>
      <c r="C8" s="8">
        <v>81.71</v>
      </c>
      <c r="D8" s="8">
        <v>73.29</v>
      </c>
      <c r="E8" s="8">
        <v>55.75</v>
      </c>
      <c r="F8" s="8">
        <v>51.5</v>
      </c>
      <c r="G8" s="8">
        <v>49.96</v>
      </c>
      <c r="H8" s="8">
        <v>44.87</v>
      </c>
      <c r="I8" s="8">
        <v>43.33</v>
      </c>
      <c r="J8" s="8">
        <v>58.49</v>
      </c>
      <c r="K8" s="8">
        <v>53.76</v>
      </c>
      <c r="L8" s="8">
        <v>52.22</v>
      </c>
      <c r="M8" s="8">
        <v>51.89</v>
      </c>
      <c r="N8" s="8">
        <v>56.43</v>
      </c>
      <c r="O8" s="8">
        <v>35.89</v>
      </c>
      <c r="P8" s="8">
        <v>35.51</v>
      </c>
      <c r="Q8" s="8">
        <v>33.97</v>
      </c>
      <c r="R8" s="8">
        <v>28.88</v>
      </c>
      <c r="S8" s="8">
        <v>27.34</v>
      </c>
      <c r="T8" s="9">
        <v>25</v>
      </c>
      <c r="U8" s="9">
        <v>0</v>
      </c>
    </row>
    <row r="9" spans="1:21" ht="12.75" outlineLevel="1">
      <c r="A9" s="1">
        <f t="shared" si="0"/>
        <v>3</v>
      </c>
      <c r="B9" s="4" t="s">
        <v>77</v>
      </c>
      <c r="C9" s="8">
        <v>92.4</v>
      </c>
      <c r="D9" s="8">
        <v>83.95</v>
      </c>
      <c r="E9" s="8">
        <v>66.05</v>
      </c>
      <c r="F9" s="8">
        <v>61.8</v>
      </c>
      <c r="G9" s="8">
        <v>60.26</v>
      </c>
      <c r="H9" s="8">
        <v>55.17</v>
      </c>
      <c r="I9" s="8">
        <v>53.63</v>
      </c>
      <c r="J9" s="8">
        <v>68.86</v>
      </c>
      <c r="K9" s="8">
        <v>64.13</v>
      </c>
      <c r="L9" s="8">
        <v>62.59</v>
      </c>
      <c r="M9" s="8">
        <v>63</v>
      </c>
      <c r="N9" s="8">
        <v>67.54</v>
      </c>
      <c r="O9" s="8">
        <v>42.5</v>
      </c>
      <c r="P9" s="8">
        <v>42.12</v>
      </c>
      <c r="Q9" s="8">
        <v>40.58</v>
      </c>
      <c r="R9" s="8">
        <v>35.49</v>
      </c>
      <c r="S9" s="8">
        <v>33.95</v>
      </c>
      <c r="T9" s="9">
        <v>25</v>
      </c>
      <c r="U9" s="9">
        <v>0</v>
      </c>
    </row>
    <row r="10" spans="1:21" ht="12.75" outlineLevel="1">
      <c r="A10" s="1">
        <f t="shared" si="0"/>
        <v>4</v>
      </c>
      <c r="B10" s="4" t="s">
        <v>78</v>
      </c>
      <c r="C10" s="8">
        <v>99.3</v>
      </c>
      <c r="D10" s="8">
        <v>90</v>
      </c>
      <c r="E10" s="8">
        <v>73.2</v>
      </c>
      <c r="F10" s="8">
        <v>68.92</v>
      </c>
      <c r="G10" s="8">
        <v>67.38</v>
      </c>
      <c r="H10" s="8">
        <v>62.29</v>
      </c>
      <c r="I10" s="8">
        <v>60.75</v>
      </c>
      <c r="J10" s="8">
        <v>76</v>
      </c>
      <c r="K10" s="8">
        <v>71.27</v>
      </c>
      <c r="L10" s="8">
        <v>69.73</v>
      </c>
      <c r="M10" s="8">
        <v>70.61</v>
      </c>
      <c r="N10" s="8">
        <v>75.2</v>
      </c>
      <c r="O10" s="8">
        <v>44.59</v>
      </c>
      <c r="P10" s="8">
        <v>44.22</v>
      </c>
      <c r="Q10" s="8">
        <v>42.68</v>
      </c>
      <c r="R10" s="8">
        <v>37.59</v>
      </c>
      <c r="S10" s="8">
        <v>36.05</v>
      </c>
      <c r="T10" s="9">
        <v>25</v>
      </c>
      <c r="U10" s="9">
        <v>0</v>
      </c>
    </row>
    <row r="11" spans="1:21" ht="12.75" outlineLevel="1">
      <c r="A11" s="1">
        <f t="shared" si="0"/>
        <v>5</v>
      </c>
      <c r="B11" s="4" t="s">
        <v>79</v>
      </c>
      <c r="C11" s="8">
        <v>99.15</v>
      </c>
      <c r="D11" s="8">
        <v>89.31</v>
      </c>
      <c r="E11" s="8">
        <v>71.53</v>
      </c>
      <c r="F11" s="8">
        <v>67.29</v>
      </c>
      <c r="G11" s="8">
        <v>65.75</v>
      </c>
      <c r="H11" s="8">
        <v>60.66</v>
      </c>
      <c r="I11" s="8">
        <v>59.12</v>
      </c>
      <c r="J11" s="8">
        <v>74.38</v>
      </c>
      <c r="K11" s="8">
        <v>69.65</v>
      </c>
      <c r="L11" s="8">
        <v>68.11</v>
      </c>
      <c r="M11" s="8">
        <v>73.32</v>
      </c>
      <c r="N11" s="8">
        <v>73.41</v>
      </c>
      <c r="O11" s="8">
        <v>44.8</v>
      </c>
      <c r="P11" s="8">
        <v>44.43</v>
      </c>
      <c r="Q11" s="8">
        <v>42.89</v>
      </c>
      <c r="R11" s="8">
        <v>37.8</v>
      </c>
      <c r="S11" s="8">
        <v>36.26</v>
      </c>
      <c r="T11" s="9">
        <v>25</v>
      </c>
      <c r="U11" s="9">
        <v>0</v>
      </c>
    </row>
    <row r="12" spans="1:21" ht="12.75" outlineLevel="1">
      <c r="A12" s="1">
        <f t="shared" si="0"/>
        <v>6</v>
      </c>
      <c r="B12" s="4" t="s">
        <v>80</v>
      </c>
      <c r="C12" s="8">
        <v>105.2</v>
      </c>
      <c r="D12" s="8">
        <v>96</v>
      </c>
      <c r="E12" s="8">
        <v>71.7</v>
      </c>
      <c r="F12" s="8">
        <v>67.14</v>
      </c>
      <c r="G12" s="8">
        <v>65.39</v>
      </c>
      <c r="H12" s="8">
        <v>60.51</v>
      </c>
      <c r="I12" s="8">
        <v>58.76</v>
      </c>
      <c r="J12" s="8">
        <v>74.6</v>
      </c>
      <c r="K12" s="8">
        <v>69.63</v>
      </c>
      <c r="L12" s="8">
        <v>67.88</v>
      </c>
      <c r="M12" s="8">
        <v>74.93</v>
      </c>
      <c r="N12" s="8">
        <v>74.7</v>
      </c>
      <c r="O12" s="8">
        <v>47.46</v>
      </c>
      <c r="P12" s="8">
        <v>47.08</v>
      </c>
      <c r="Q12" s="8">
        <v>45.33</v>
      </c>
      <c r="R12" s="8">
        <v>40.45</v>
      </c>
      <c r="S12" s="8">
        <v>38.7</v>
      </c>
      <c r="T12" s="9">
        <v>25</v>
      </c>
      <c r="U12" s="9">
        <v>0</v>
      </c>
    </row>
    <row r="13" spans="1:21" ht="12.75" outlineLevel="1">
      <c r="A13" s="1">
        <f t="shared" si="0"/>
        <v>7</v>
      </c>
      <c r="B13" s="4" t="s">
        <v>81</v>
      </c>
      <c r="C13" s="8">
        <v>98.5</v>
      </c>
      <c r="D13" s="8">
        <v>90.1</v>
      </c>
      <c r="E13" s="8">
        <v>65.9</v>
      </c>
      <c r="F13" s="8">
        <v>61.3</v>
      </c>
      <c r="G13" s="8">
        <v>59.55</v>
      </c>
      <c r="H13" s="8">
        <v>54.67</v>
      </c>
      <c r="I13" s="8">
        <v>52.92</v>
      </c>
      <c r="J13" s="8">
        <v>68.7</v>
      </c>
      <c r="K13" s="8">
        <v>63.76</v>
      </c>
      <c r="L13" s="8">
        <v>62.01</v>
      </c>
      <c r="M13" s="8">
        <v>66.87</v>
      </c>
      <c r="N13" s="8">
        <v>67.2</v>
      </c>
      <c r="O13" s="8">
        <v>42.38</v>
      </c>
      <c r="P13" s="8">
        <v>42.01</v>
      </c>
      <c r="Q13" s="8">
        <v>40.26</v>
      </c>
      <c r="R13" s="8">
        <v>35.38</v>
      </c>
      <c r="S13" s="8">
        <v>33.63</v>
      </c>
      <c r="T13" s="9">
        <v>25</v>
      </c>
      <c r="U13" s="9">
        <v>0</v>
      </c>
    </row>
    <row r="14" spans="1:21" ht="12.75" outlineLevel="1">
      <c r="A14" s="1">
        <f t="shared" si="0"/>
        <v>8</v>
      </c>
      <c r="B14" s="4" t="s">
        <v>82</v>
      </c>
      <c r="C14" s="8">
        <v>96.2</v>
      </c>
      <c r="D14" s="8">
        <v>88.6</v>
      </c>
      <c r="E14" s="8">
        <v>65.2</v>
      </c>
      <c r="F14" s="8">
        <v>60.17</v>
      </c>
      <c r="G14" s="8">
        <v>58.42</v>
      </c>
      <c r="H14" s="8">
        <v>53.54</v>
      </c>
      <c r="I14" s="8">
        <v>51.79</v>
      </c>
      <c r="J14" s="8">
        <v>68</v>
      </c>
      <c r="K14" s="8">
        <v>62.6</v>
      </c>
      <c r="L14" s="8">
        <v>60.85</v>
      </c>
      <c r="M14" s="8">
        <v>66.29</v>
      </c>
      <c r="N14" s="8">
        <v>67.3</v>
      </c>
      <c r="O14" s="8">
        <v>41.32</v>
      </c>
      <c r="P14" s="8">
        <v>40.94</v>
      </c>
      <c r="Q14" s="8">
        <v>39.19</v>
      </c>
      <c r="R14" s="8">
        <v>34.31</v>
      </c>
      <c r="S14" s="8">
        <v>32.56</v>
      </c>
      <c r="T14" s="9">
        <v>25</v>
      </c>
      <c r="U14" s="9">
        <v>0</v>
      </c>
    </row>
    <row r="15" spans="1:21" ht="12.75" outlineLevel="1">
      <c r="A15" s="1">
        <f t="shared" si="0"/>
        <v>9</v>
      </c>
      <c r="B15" s="4" t="s">
        <v>83</v>
      </c>
      <c r="C15" s="8">
        <v>97.1</v>
      </c>
      <c r="D15" s="8">
        <v>89.1</v>
      </c>
      <c r="E15" s="8">
        <v>64.7</v>
      </c>
      <c r="F15" s="8">
        <v>59.69</v>
      </c>
      <c r="G15" s="8">
        <v>57.94</v>
      </c>
      <c r="H15" s="8">
        <v>53.06</v>
      </c>
      <c r="I15" s="8">
        <v>51.31</v>
      </c>
      <c r="J15" s="8">
        <v>67.5</v>
      </c>
      <c r="K15" s="8">
        <v>62.02</v>
      </c>
      <c r="L15" s="8">
        <v>60.27</v>
      </c>
      <c r="M15" s="8">
        <v>64.7</v>
      </c>
      <c r="N15" s="8">
        <v>65.7</v>
      </c>
      <c r="O15" s="8">
        <v>42.34</v>
      </c>
      <c r="P15" s="8">
        <v>41.97</v>
      </c>
      <c r="Q15" s="8">
        <v>40.22</v>
      </c>
      <c r="R15" s="8">
        <v>35.34</v>
      </c>
      <c r="S15" s="8">
        <v>33.59</v>
      </c>
      <c r="T15" s="9">
        <v>25</v>
      </c>
      <c r="U15" s="9">
        <v>0</v>
      </c>
    </row>
    <row r="16" spans="1:21" ht="12.75" outlineLevel="1">
      <c r="A16" s="1">
        <f t="shared" si="0"/>
        <v>10</v>
      </c>
      <c r="B16" s="4" t="s">
        <v>84</v>
      </c>
      <c r="C16" s="8">
        <v>98.7</v>
      </c>
      <c r="D16" s="8">
        <v>90.4</v>
      </c>
      <c r="E16" s="8">
        <v>65.5</v>
      </c>
      <c r="F16" s="8">
        <v>60.18</v>
      </c>
      <c r="G16" s="8">
        <v>58.43</v>
      </c>
      <c r="H16" s="8">
        <v>53.55</v>
      </c>
      <c r="I16" s="8">
        <v>51.8</v>
      </c>
      <c r="J16" s="8">
        <v>67.9</v>
      </c>
      <c r="K16" s="8">
        <v>62.5</v>
      </c>
      <c r="L16" s="8">
        <v>60.75</v>
      </c>
      <c r="M16" s="8">
        <v>66.29</v>
      </c>
      <c r="N16" s="8">
        <v>67.4</v>
      </c>
      <c r="O16" s="8">
        <v>41.49</v>
      </c>
      <c r="P16" s="8">
        <v>41.11</v>
      </c>
      <c r="Q16" s="8">
        <v>39.36</v>
      </c>
      <c r="R16" s="8">
        <v>34.48</v>
      </c>
      <c r="S16" s="8">
        <v>32.73</v>
      </c>
      <c r="T16" s="9">
        <v>25</v>
      </c>
      <c r="U16" s="9">
        <v>0</v>
      </c>
    </row>
    <row r="17" spans="1:21" ht="12.75" outlineLevel="1">
      <c r="A17" s="1">
        <f t="shared" si="0"/>
        <v>11</v>
      </c>
      <c r="B17" s="4" t="s">
        <v>85</v>
      </c>
      <c r="C17" s="8">
        <v>99.3</v>
      </c>
      <c r="D17" s="8">
        <v>90.9</v>
      </c>
      <c r="E17" s="8">
        <v>67</v>
      </c>
      <c r="F17" s="8">
        <v>61.64</v>
      </c>
      <c r="G17" s="8">
        <v>59.89</v>
      </c>
      <c r="H17" s="8">
        <v>55.01</v>
      </c>
      <c r="I17" s="8">
        <v>53.26</v>
      </c>
      <c r="J17" s="8">
        <v>69.4</v>
      </c>
      <c r="K17" s="8">
        <v>63.98</v>
      </c>
      <c r="L17" s="8">
        <v>62.23</v>
      </c>
      <c r="M17" s="8">
        <v>66.21</v>
      </c>
      <c r="N17" s="8">
        <v>67</v>
      </c>
      <c r="O17" s="8">
        <v>43.73</v>
      </c>
      <c r="P17" s="8">
        <v>43.36</v>
      </c>
      <c r="Q17" s="8">
        <v>41.61</v>
      </c>
      <c r="R17" s="8">
        <v>36.73</v>
      </c>
      <c r="S17" s="8">
        <v>34.98</v>
      </c>
      <c r="T17" s="9">
        <v>25</v>
      </c>
      <c r="U17" s="9">
        <v>0</v>
      </c>
    </row>
    <row r="18" spans="1:21" ht="12.75" outlineLevel="1">
      <c r="A18" s="1">
        <f t="shared" si="0"/>
        <v>12</v>
      </c>
      <c r="B18" s="4" t="s">
        <v>86</v>
      </c>
      <c r="C18" s="8">
        <v>100.2</v>
      </c>
      <c r="D18" s="8">
        <v>92.1</v>
      </c>
      <c r="E18" s="8">
        <v>66.2</v>
      </c>
      <c r="F18" s="8">
        <v>60.82</v>
      </c>
      <c r="G18" s="8">
        <v>59.07</v>
      </c>
      <c r="H18" s="8">
        <v>54.19</v>
      </c>
      <c r="I18" s="8">
        <v>52.44</v>
      </c>
      <c r="J18" s="8">
        <v>68.6</v>
      </c>
      <c r="K18" s="8">
        <v>63.14</v>
      </c>
      <c r="L18" s="8">
        <v>61.39</v>
      </c>
      <c r="M18" s="8">
        <v>66.08</v>
      </c>
      <c r="N18" s="8">
        <v>67.2</v>
      </c>
      <c r="O18" s="8">
        <v>42.6</v>
      </c>
      <c r="P18" s="8">
        <v>42.23</v>
      </c>
      <c r="Q18" s="8">
        <v>40.48</v>
      </c>
      <c r="R18" s="8">
        <v>35.6</v>
      </c>
      <c r="S18" s="8">
        <v>33.85</v>
      </c>
      <c r="T18" s="9">
        <v>25</v>
      </c>
      <c r="U18" s="9">
        <v>0</v>
      </c>
    </row>
    <row r="19" spans="1:21" ht="12.75" outlineLevel="1">
      <c r="A19" s="1">
        <f t="shared" si="0"/>
        <v>13</v>
      </c>
      <c r="B19" s="4" t="s">
        <v>87</v>
      </c>
      <c r="C19" s="8">
        <v>98.9</v>
      </c>
      <c r="D19" s="8">
        <v>91.5</v>
      </c>
      <c r="E19" s="8">
        <v>64.4</v>
      </c>
      <c r="F19" s="8">
        <v>58.68</v>
      </c>
      <c r="G19" s="8">
        <v>56.93</v>
      </c>
      <c r="H19" s="8">
        <v>52.05</v>
      </c>
      <c r="I19" s="8">
        <v>50.3</v>
      </c>
      <c r="J19" s="8">
        <v>66.4</v>
      </c>
      <c r="K19" s="8">
        <v>61</v>
      </c>
      <c r="L19" s="8">
        <v>59.25</v>
      </c>
      <c r="M19" s="8">
        <v>64.08</v>
      </c>
      <c r="N19" s="8">
        <v>66.1</v>
      </c>
      <c r="O19" s="8">
        <v>42.48</v>
      </c>
      <c r="P19" s="8">
        <v>42.1</v>
      </c>
      <c r="Q19" s="8">
        <v>40.35</v>
      </c>
      <c r="R19" s="8">
        <v>35.47</v>
      </c>
      <c r="S19" s="8">
        <v>33.72</v>
      </c>
      <c r="T19" s="9">
        <v>25</v>
      </c>
      <c r="U19" s="9">
        <v>0</v>
      </c>
    </row>
    <row r="20" spans="1:21" ht="12.75" outlineLevel="1">
      <c r="A20" s="1">
        <f t="shared" si="0"/>
        <v>14</v>
      </c>
      <c r="B20" s="4" t="s">
        <v>88</v>
      </c>
      <c r="C20" s="8">
        <v>99.6</v>
      </c>
      <c r="D20" s="8">
        <v>90.9</v>
      </c>
      <c r="E20" s="8">
        <v>62.1</v>
      </c>
      <c r="F20" s="8">
        <v>56.28</v>
      </c>
      <c r="G20" s="8">
        <v>54.53</v>
      </c>
      <c r="H20" s="8">
        <v>49.65</v>
      </c>
      <c r="I20" s="8">
        <v>47.9</v>
      </c>
      <c r="J20" s="8">
        <v>64</v>
      </c>
      <c r="K20" s="8">
        <v>58.58</v>
      </c>
      <c r="L20" s="8">
        <v>56.83</v>
      </c>
      <c r="M20" s="8">
        <v>61.01</v>
      </c>
      <c r="N20" s="8">
        <v>63.9</v>
      </c>
      <c r="O20" s="8">
        <v>42.26</v>
      </c>
      <c r="P20" s="8">
        <v>41.75</v>
      </c>
      <c r="Q20" s="8">
        <v>40</v>
      </c>
      <c r="R20" s="8">
        <v>35.12</v>
      </c>
      <c r="S20" s="8">
        <v>33.37</v>
      </c>
      <c r="T20" s="9">
        <v>25</v>
      </c>
      <c r="U20" s="9">
        <v>0</v>
      </c>
    </row>
    <row r="21" spans="1:21" ht="12.75" outlineLevel="1">
      <c r="A21" s="1">
        <f t="shared" si="0"/>
        <v>15</v>
      </c>
      <c r="B21" s="4" t="s">
        <v>89</v>
      </c>
      <c r="C21" s="8">
        <v>95.8</v>
      </c>
      <c r="D21" s="8">
        <v>87</v>
      </c>
      <c r="E21" s="8">
        <v>60.4</v>
      </c>
      <c r="F21" s="8">
        <v>54.65</v>
      </c>
      <c r="G21" s="8">
        <v>52.9</v>
      </c>
      <c r="H21" s="8">
        <v>48.02</v>
      </c>
      <c r="I21" s="8">
        <v>46.27</v>
      </c>
      <c r="J21" s="8">
        <v>62.4</v>
      </c>
      <c r="K21" s="8">
        <v>56.95</v>
      </c>
      <c r="L21" s="8">
        <v>55.2</v>
      </c>
      <c r="M21" s="8">
        <v>59.21</v>
      </c>
      <c r="N21" s="8">
        <v>62.1</v>
      </c>
      <c r="O21" s="8">
        <v>41.94</v>
      </c>
      <c r="P21" s="8">
        <v>41.43</v>
      </c>
      <c r="Q21" s="8">
        <v>39.68</v>
      </c>
      <c r="R21" s="8">
        <v>34.8</v>
      </c>
      <c r="S21" s="8">
        <v>33.05</v>
      </c>
      <c r="T21" s="9">
        <v>25</v>
      </c>
      <c r="U21" s="9">
        <v>0</v>
      </c>
    </row>
    <row r="22" spans="1:21" ht="12.75" outlineLevel="1">
      <c r="A22" s="1">
        <f t="shared" si="0"/>
        <v>16</v>
      </c>
      <c r="B22" s="4" t="s">
        <v>90</v>
      </c>
      <c r="C22" s="8">
        <v>102.7</v>
      </c>
      <c r="D22" s="8">
        <v>93.3</v>
      </c>
      <c r="E22" s="8">
        <v>65</v>
      </c>
      <c r="F22" s="8">
        <v>59.26</v>
      </c>
      <c r="G22" s="8">
        <v>57.51</v>
      </c>
      <c r="H22" s="8">
        <v>52.63</v>
      </c>
      <c r="I22" s="8">
        <v>50.88</v>
      </c>
      <c r="J22" s="8">
        <v>67</v>
      </c>
      <c r="K22" s="8">
        <v>61.57</v>
      </c>
      <c r="L22" s="8">
        <v>59.82</v>
      </c>
      <c r="M22" s="8">
        <v>64.73</v>
      </c>
      <c r="N22" s="8">
        <v>67.5</v>
      </c>
      <c r="O22" s="8">
        <v>43.77</v>
      </c>
      <c r="P22" s="8">
        <v>43.25</v>
      </c>
      <c r="Q22" s="8">
        <v>41.5</v>
      </c>
      <c r="R22" s="8">
        <v>36.62</v>
      </c>
      <c r="S22" s="8">
        <v>34.87</v>
      </c>
      <c r="T22" s="9">
        <v>25</v>
      </c>
      <c r="U22" s="9">
        <v>0</v>
      </c>
    </row>
    <row r="23" spans="1:21" ht="12.75" outlineLevel="1">
      <c r="A23" s="1">
        <f t="shared" si="0"/>
        <v>17</v>
      </c>
      <c r="B23" s="4" t="s">
        <v>91</v>
      </c>
      <c r="C23" s="8">
        <v>100.2</v>
      </c>
      <c r="D23" s="8">
        <v>91.3</v>
      </c>
      <c r="E23" s="8">
        <v>64.2</v>
      </c>
      <c r="F23" s="8">
        <v>58.42</v>
      </c>
      <c r="G23" s="8">
        <v>56.67</v>
      </c>
      <c r="H23" s="8">
        <v>51.79</v>
      </c>
      <c r="I23" s="8">
        <v>50.04</v>
      </c>
      <c r="J23" s="8">
        <v>66.2</v>
      </c>
      <c r="K23" s="8">
        <v>60.73</v>
      </c>
      <c r="L23" s="8">
        <v>58.98</v>
      </c>
      <c r="M23" s="8">
        <v>64</v>
      </c>
      <c r="N23" s="8">
        <v>66.8</v>
      </c>
      <c r="O23" s="8">
        <v>43.57</v>
      </c>
      <c r="P23" s="8">
        <v>43.06</v>
      </c>
      <c r="Q23" s="8">
        <v>41.31</v>
      </c>
      <c r="R23" s="8">
        <v>36.43</v>
      </c>
      <c r="S23" s="8">
        <v>34.68</v>
      </c>
      <c r="T23" s="9">
        <v>25</v>
      </c>
      <c r="U23" s="9">
        <v>0</v>
      </c>
    </row>
    <row r="24" spans="1:21" ht="12.75" outlineLevel="1">
      <c r="A24" s="1">
        <f t="shared" si="0"/>
        <v>18</v>
      </c>
      <c r="B24" s="4" t="s">
        <v>92</v>
      </c>
      <c r="C24" s="8">
        <v>100</v>
      </c>
      <c r="D24" s="8">
        <v>91.6</v>
      </c>
      <c r="E24" s="8">
        <v>64.4</v>
      </c>
      <c r="F24" s="8">
        <v>58.61</v>
      </c>
      <c r="G24" s="8">
        <v>56.86</v>
      </c>
      <c r="H24" s="8">
        <v>51.98</v>
      </c>
      <c r="I24" s="8">
        <v>50.23</v>
      </c>
      <c r="J24" s="8">
        <v>66.4</v>
      </c>
      <c r="K24" s="8">
        <v>60.92</v>
      </c>
      <c r="L24" s="8">
        <v>59.17</v>
      </c>
      <c r="M24" s="8">
        <v>64.98</v>
      </c>
      <c r="N24" s="8">
        <v>67.7</v>
      </c>
      <c r="O24" s="8">
        <v>44.58</v>
      </c>
      <c r="P24" s="8">
        <v>44.06</v>
      </c>
      <c r="Q24" s="8">
        <v>42.31</v>
      </c>
      <c r="R24" s="8">
        <v>37.43</v>
      </c>
      <c r="S24" s="8">
        <v>35.68</v>
      </c>
      <c r="T24" s="9">
        <v>25</v>
      </c>
      <c r="U24" s="9">
        <v>0</v>
      </c>
    </row>
    <row r="25" spans="1:21" ht="12.75" outlineLevel="1">
      <c r="A25" s="1">
        <f t="shared" si="0"/>
        <v>19</v>
      </c>
      <c r="B25" s="4" t="s">
        <v>93</v>
      </c>
      <c r="C25" s="8">
        <v>100.5</v>
      </c>
      <c r="D25" s="8">
        <v>92</v>
      </c>
      <c r="E25" s="8">
        <v>64.8</v>
      </c>
      <c r="F25" s="8">
        <v>58.96</v>
      </c>
      <c r="G25" s="8">
        <v>57.21</v>
      </c>
      <c r="H25" s="8">
        <v>52.33</v>
      </c>
      <c r="I25" s="8">
        <v>50.58</v>
      </c>
      <c r="J25" s="8">
        <v>66.7</v>
      </c>
      <c r="K25" s="8">
        <v>61.27</v>
      </c>
      <c r="L25" s="8">
        <v>59.52</v>
      </c>
      <c r="M25" s="8">
        <v>66.92</v>
      </c>
      <c r="N25" s="8">
        <v>68.4</v>
      </c>
      <c r="O25" s="8">
        <v>45.63</v>
      </c>
      <c r="P25" s="8">
        <v>45.12</v>
      </c>
      <c r="Q25" s="8">
        <v>43.37</v>
      </c>
      <c r="R25" s="8">
        <v>38.49</v>
      </c>
      <c r="S25" s="8">
        <v>36.74</v>
      </c>
      <c r="T25" s="9">
        <v>25</v>
      </c>
      <c r="U25" s="9">
        <v>0</v>
      </c>
    </row>
    <row r="26" spans="1:21" ht="12.75" outlineLevel="1">
      <c r="A26" s="1">
        <f t="shared" si="0"/>
        <v>20</v>
      </c>
      <c r="B26" s="4" t="s">
        <v>94</v>
      </c>
      <c r="C26" s="8">
        <v>100.2</v>
      </c>
      <c r="D26" s="8">
        <v>91.2</v>
      </c>
      <c r="E26" s="8">
        <v>65</v>
      </c>
      <c r="F26" s="8">
        <v>59.24</v>
      </c>
      <c r="G26" s="8">
        <v>57.49</v>
      </c>
      <c r="H26" s="8">
        <v>52.61</v>
      </c>
      <c r="I26" s="8">
        <v>50.86</v>
      </c>
      <c r="J26" s="8">
        <v>67</v>
      </c>
      <c r="K26" s="8">
        <v>61.56</v>
      </c>
      <c r="L26" s="8">
        <v>59.81</v>
      </c>
      <c r="M26" s="8">
        <v>68.84</v>
      </c>
      <c r="N26" s="8">
        <v>71.2</v>
      </c>
      <c r="O26" s="8">
        <v>48.08</v>
      </c>
      <c r="P26" s="8">
        <v>47.57</v>
      </c>
      <c r="Q26" s="8">
        <v>45.82</v>
      </c>
      <c r="R26" s="8">
        <v>40.94</v>
      </c>
      <c r="S26" s="8">
        <v>39.19</v>
      </c>
      <c r="T26" s="9">
        <v>25</v>
      </c>
      <c r="U26" s="9">
        <v>0</v>
      </c>
    </row>
    <row r="27" spans="1:21" ht="12.75" outlineLevel="1">
      <c r="A27" s="1">
        <f t="shared" si="0"/>
        <v>21</v>
      </c>
      <c r="B27" s="4" t="s">
        <v>95</v>
      </c>
      <c r="C27" s="8">
        <v>109.9</v>
      </c>
      <c r="D27" s="8">
        <v>100.5</v>
      </c>
      <c r="E27" s="8">
        <v>69.6</v>
      </c>
      <c r="F27" s="8">
        <v>63.86</v>
      </c>
      <c r="G27" s="8">
        <v>62.11</v>
      </c>
      <c r="H27" s="8">
        <v>57.23</v>
      </c>
      <c r="I27" s="8">
        <v>55.48</v>
      </c>
      <c r="J27" s="8">
        <v>71.6</v>
      </c>
      <c r="K27" s="8">
        <v>66.17</v>
      </c>
      <c r="L27" s="8">
        <v>64.42</v>
      </c>
      <c r="M27" s="8">
        <v>72.91</v>
      </c>
      <c r="N27" s="8">
        <v>75.2</v>
      </c>
      <c r="O27" s="8">
        <v>51.04</v>
      </c>
      <c r="P27" s="8">
        <v>50.52</v>
      </c>
      <c r="Q27" s="8">
        <v>48.77</v>
      </c>
      <c r="R27" s="8">
        <v>43.89</v>
      </c>
      <c r="S27" s="8">
        <v>42.14</v>
      </c>
      <c r="T27" s="9">
        <v>25</v>
      </c>
      <c r="U27" s="9">
        <v>0</v>
      </c>
    </row>
    <row r="28" spans="1:21" ht="12.75" outlineLevel="1">
      <c r="A28" s="1">
        <f t="shared" si="0"/>
        <v>22</v>
      </c>
      <c r="B28" s="4" t="s">
        <v>96</v>
      </c>
      <c r="C28" s="8">
        <v>116.9</v>
      </c>
      <c r="D28" s="8">
        <v>106.7</v>
      </c>
      <c r="E28" s="8">
        <v>73.5</v>
      </c>
      <c r="F28" s="8">
        <v>67.73</v>
      </c>
      <c r="G28" s="8">
        <v>65.98</v>
      </c>
      <c r="H28" s="8">
        <v>61.1</v>
      </c>
      <c r="I28" s="8">
        <v>59.35</v>
      </c>
      <c r="J28" s="8">
        <v>75.5</v>
      </c>
      <c r="K28" s="8">
        <v>70.09</v>
      </c>
      <c r="L28" s="8">
        <v>68.34</v>
      </c>
      <c r="M28" s="8">
        <v>73.85</v>
      </c>
      <c r="N28" s="39">
        <v>75.4</v>
      </c>
      <c r="O28" s="8">
        <v>51.39</v>
      </c>
      <c r="P28" s="8">
        <v>50.88</v>
      </c>
      <c r="Q28" s="8">
        <v>49.13</v>
      </c>
      <c r="R28" s="8">
        <v>44.25</v>
      </c>
      <c r="S28" s="8">
        <v>42.5</v>
      </c>
      <c r="T28" s="9">
        <v>25</v>
      </c>
      <c r="U28" s="9">
        <v>0</v>
      </c>
    </row>
    <row r="29" spans="1:21" ht="12.75" outlineLevel="1">
      <c r="A29" s="1">
        <f t="shared" si="0"/>
        <v>23</v>
      </c>
      <c r="B29" s="4" t="s">
        <v>97</v>
      </c>
      <c r="C29" s="8">
        <v>118.5</v>
      </c>
      <c r="D29" s="8">
        <v>109.2</v>
      </c>
      <c r="E29" s="8">
        <v>77.2</v>
      </c>
      <c r="F29" s="8">
        <v>71.35</v>
      </c>
      <c r="G29" s="8">
        <v>69.6</v>
      </c>
      <c r="H29" s="8">
        <v>64.72</v>
      </c>
      <c r="I29" s="8">
        <v>62.97</v>
      </c>
      <c r="J29" s="8">
        <v>79.1</v>
      </c>
      <c r="K29" s="8">
        <v>73.71</v>
      </c>
      <c r="L29" s="8">
        <v>71.96</v>
      </c>
      <c r="M29" s="8">
        <v>76.65</v>
      </c>
      <c r="N29" s="39">
        <v>78.2</v>
      </c>
      <c r="O29" s="8">
        <v>53.66</v>
      </c>
      <c r="P29" s="8">
        <v>53.15</v>
      </c>
      <c r="Q29" s="8">
        <v>51.4</v>
      </c>
      <c r="R29" s="8">
        <v>46.52</v>
      </c>
      <c r="S29" s="8">
        <v>44.77</v>
      </c>
      <c r="T29" s="9">
        <v>25</v>
      </c>
      <c r="U29" s="9">
        <v>0</v>
      </c>
    </row>
    <row r="30" spans="1:21" ht="12.75" outlineLevel="1">
      <c r="A30" s="1">
        <f t="shared" si="0"/>
        <v>24</v>
      </c>
      <c r="B30" s="4" t="s">
        <v>98</v>
      </c>
      <c r="C30" s="8">
        <v>111.8</v>
      </c>
      <c r="D30" s="8">
        <v>102.9</v>
      </c>
      <c r="E30" s="8">
        <v>72.9</v>
      </c>
      <c r="F30" s="8">
        <v>67.11</v>
      </c>
      <c r="G30" s="8">
        <v>65.01</v>
      </c>
      <c r="H30" s="8">
        <v>60.48</v>
      </c>
      <c r="I30" s="8">
        <v>58.38</v>
      </c>
      <c r="J30" s="8">
        <v>74.9</v>
      </c>
      <c r="K30" s="8">
        <v>69.47</v>
      </c>
      <c r="L30" s="8">
        <v>67.37</v>
      </c>
      <c r="M30" s="8">
        <v>73.25</v>
      </c>
      <c r="N30" s="39">
        <v>74.9</v>
      </c>
      <c r="O30" s="8">
        <v>50.04</v>
      </c>
      <c r="P30" s="8">
        <v>49.53</v>
      </c>
      <c r="Q30" s="8">
        <v>47.43</v>
      </c>
      <c r="R30" s="8">
        <v>42.9</v>
      </c>
      <c r="S30" s="8">
        <v>40.8</v>
      </c>
      <c r="T30" s="9">
        <v>25</v>
      </c>
      <c r="U30" s="9">
        <v>0</v>
      </c>
    </row>
    <row r="31" spans="1:21" ht="12.75" outlineLevel="1">
      <c r="A31" s="1">
        <f t="shared" si="0"/>
        <v>25</v>
      </c>
      <c r="B31" s="4" t="s">
        <v>99</v>
      </c>
      <c r="C31" s="8">
        <v>103.8</v>
      </c>
      <c r="D31" s="8">
        <v>95</v>
      </c>
      <c r="E31" s="8">
        <v>71</v>
      </c>
      <c r="F31" s="8">
        <v>65.18</v>
      </c>
      <c r="G31" s="8">
        <v>63.08</v>
      </c>
      <c r="H31" s="8">
        <v>58.55</v>
      </c>
      <c r="I31" s="8">
        <v>56.45</v>
      </c>
      <c r="J31" s="8">
        <v>73</v>
      </c>
      <c r="K31" s="8">
        <v>67.54</v>
      </c>
      <c r="L31" s="8">
        <v>65.44</v>
      </c>
      <c r="M31" s="8">
        <v>71.15</v>
      </c>
      <c r="N31" s="39">
        <v>72.8</v>
      </c>
      <c r="O31" s="8">
        <v>45.89</v>
      </c>
      <c r="P31" s="8">
        <v>45.38</v>
      </c>
      <c r="Q31" s="8">
        <v>43.28</v>
      </c>
      <c r="R31" s="8">
        <v>38.75</v>
      </c>
      <c r="S31" s="8">
        <v>36.65</v>
      </c>
      <c r="T31" s="9">
        <v>25</v>
      </c>
      <c r="U31" s="9">
        <v>0</v>
      </c>
    </row>
    <row r="32" spans="1:21" ht="12.75" outlineLevel="1">
      <c r="A32" s="1">
        <f t="shared" si="0"/>
        <v>26</v>
      </c>
      <c r="B32" s="4" t="s">
        <v>100</v>
      </c>
      <c r="C32" s="8">
        <v>106.8</v>
      </c>
      <c r="D32" s="8">
        <v>98.1</v>
      </c>
      <c r="E32" s="8">
        <v>73.4</v>
      </c>
      <c r="F32" s="8">
        <v>67.59</v>
      </c>
      <c r="G32" s="8">
        <v>66.49</v>
      </c>
      <c r="H32" s="8">
        <v>60.96</v>
      </c>
      <c r="I32" s="8">
        <v>58.86</v>
      </c>
      <c r="J32" s="8">
        <v>75.4</v>
      </c>
      <c r="K32" s="8">
        <v>69.95</v>
      </c>
      <c r="L32" s="8">
        <v>67.85</v>
      </c>
      <c r="M32" s="8">
        <v>73.66</v>
      </c>
      <c r="N32" s="8">
        <v>75.4</v>
      </c>
      <c r="O32" s="8">
        <v>47.52</v>
      </c>
      <c r="P32" s="8">
        <v>47.01</v>
      </c>
      <c r="Q32" s="8">
        <v>44.91</v>
      </c>
      <c r="R32" s="8">
        <v>40.38</v>
      </c>
      <c r="S32" s="8">
        <v>38.28</v>
      </c>
      <c r="T32" s="9">
        <v>25</v>
      </c>
      <c r="U32" s="9">
        <v>0</v>
      </c>
    </row>
    <row r="33" spans="1:21" ht="12.75" outlineLevel="1">
      <c r="A33" s="1">
        <f t="shared" si="0"/>
        <v>27</v>
      </c>
      <c r="B33" s="4" t="s">
        <v>101</v>
      </c>
      <c r="C33" s="8">
        <v>103.5</v>
      </c>
      <c r="D33" s="8">
        <v>94.4</v>
      </c>
      <c r="E33" s="8">
        <v>70.1</v>
      </c>
      <c r="F33" s="8">
        <v>64.24</v>
      </c>
      <c r="G33" s="8">
        <v>62.14</v>
      </c>
      <c r="H33" s="8">
        <v>57.46</v>
      </c>
      <c r="I33" s="8">
        <v>55.36</v>
      </c>
      <c r="J33" s="8">
        <v>72.7</v>
      </c>
      <c r="K33" s="8">
        <v>66.71</v>
      </c>
      <c r="L33" s="8">
        <v>64.61</v>
      </c>
      <c r="M33" s="8">
        <v>71.18</v>
      </c>
      <c r="N33" s="8">
        <v>74.4</v>
      </c>
      <c r="O33" s="8">
        <v>44.72</v>
      </c>
      <c r="P33" s="8">
        <v>44.36</v>
      </c>
      <c r="Q33" s="8">
        <v>42.26</v>
      </c>
      <c r="R33" s="8">
        <v>37.58</v>
      </c>
      <c r="S33" s="8">
        <v>35.48</v>
      </c>
      <c r="T33" s="9">
        <v>25</v>
      </c>
      <c r="U33" s="9">
        <v>0</v>
      </c>
    </row>
    <row r="34" spans="1:21" ht="12.75" outlineLevel="1">
      <c r="A34" s="1">
        <f t="shared" si="0"/>
        <v>28</v>
      </c>
      <c r="B34" s="4" t="s">
        <v>102</v>
      </c>
      <c r="C34" s="8">
        <v>110.7</v>
      </c>
      <c r="D34" s="8">
        <v>101.8</v>
      </c>
      <c r="E34" s="8">
        <v>75.2</v>
      </c>
      <c r="F34" s="8">
        <v>69.29</v>
      </c>
      <c r="G34" s="8">
        <v>67.19</v>
      </c>
      <c r="H34" s="8">
        <v>62.36</v>
      </c>
      <c r="I34" s="8">
        <v>60.26</v>
      </c>
      <c r="J34" s="8">
        <v>77.9</v>
      </c>
      <c r="K34" s="8">
        <v>71.86</v>
      </c>
      <c r="L34" s="8">
        <v>69.76</v>
      </c>
      <c r="M34" s="8">
        <v>75.74</v>
      </c>
      <c r="N34" s="8">
        <v>79.1</v>
      </c>
      <c r="O34" s="8">
        <v>46.94</v>
      </c>
      <c r="P34" s="8">
        <v>46.57</v>
      </c>
      <c r="Q34" s="8">
        <v>44.47</v>
      </c>
      <c r="R34" s="8">
        <v>39.64</v>
      </c>
      <c r="S34" s="8">
        <v>37.54</v>
      </c>
      <c r="T34" s="9">
        <v>25</v>
      </c>
      <c r="U34" s="9">
        <v>0</v>
      </c>
    </row>
    <row r="35" spans="1:21" ht="12.75" outlineLevel="1">
      <c r="A35" s="1">
        <f t="shared" si="0"/>
        <v>29</v>
      </c>
      <c r="B35" s="4" t="s">
        <v>103</v>
      </c>
      <c r="C35" s="8">
        <v>109.4</v>
      </c>
      <c r="D35" s="8">
        <v>100.7</v>
      </c>
      <c r="E35" s="8">
        <v>71.9</v>
      </c>
      <c r="F35" s="8">
        <v>65.97</v>
      </c>
      <c r="G35" s="8">
        <v>63.87</v>
      </c>
      <c r="H35" s="8">
        <v>58.89</v>
      </c>
      <c r="I35" s="8">
        <v>56.79</v>
      </c>
      <c r="J35" s="8">
        <v>74.6</v>
      </c>
      <c r="K35" s="8">
        <v>68.62</v>
      </c>
      <c r="L35" s="8">
        <v>66.52</v>
      </c>
      <c r="M35" s="8">
        <v>71.19</v>
      </c>
      <c r="N35" s="8">
        <v>74.8</v>
      </c>
      <c r="O35" s="8">
        <v>43.74</v>
      </c>
      <c r="P35" s="8">
        <v>43.38</v>
      </c>
      <c r="Q35" s="8">
        <v>41.28</v>
      </c>
      <c r="R35" s="8">
        <v>36.3</v>
      </c>
      <c r="S35" s="8">
        <v>34.2</v>
      </c>
      <c r="T35" s="9">
        <v>25</v>
      </c>
      <c r="U35" s="9">
        <v>0</v>
      </c>
    </row>
    <row r="36" spans="1:21" ht="12.75" outlineLevel="1">
      <c r="A36" s="1">
        <f t="shared" si="0"/>
        <v>30</v>
      </c>
      <c r="B36" s="4" t="s">
        <v>104</v>
      </c>
      <c r="C36" s="8">
        <v>107.3</v>
      </c>
      <c r="D36" s="8">
        <v>98.7</v>
      </c>
      <c r="E36" s="8">
        <v>73.6</v>
      </c>
      <c r="F36" s="8">
        <v>67.65</v>
      </c>
      <c r="G36" s="8">
        <v>65.55</v>
      </c>
      <c r="H36" s="8">
        <v>60.42</v>
      </c>
      <c r="I36" s="8">
        <v>58.32</v>
      </c>
      <c r="J36" s="8">
        <v>76.4</v>
      </c>
      <c r="K36" s="8">
        <v>70.4</v>
      </c>
      <c r="L36" s="8">
        <v>68.3</v>
      </c>
      <c r="M36" s="8">
        <v>73.43</v>
      </c>
      <c r="N36" s="8">
        <v>77</v>
      </c>
      <c r="O36" s="8">
        <v>44.67</v>
      </c>
      <c r="P36" s="8">
        <v>44.3</v>
      </c>
      <c r="Q36" s="8">
        <v>42.2</v>
      </c>
      <c r="R36" s="8">
        <v>37.07</v>
      </c>
      <c r="S36" s="8">
        <v>34.97</v>
      </c>
      <c r="T36" s="9">
        <v>25</v>
      </c>
      <c r="U36" s="9">
        <v>0</v>
      </c>
    </row>
    <row r="37" spans="1:21" ht="12.75" outlineLevel="1">
      <c r="A37" s="1">
        <f t="shared" si="0"/>
        <v>31</v>
      </c>
      <c r="B37" s="4" t="s">
        <v>105</v>
      </c>
      <c r="C37" s="8">
        <v>106.4</v>
      </c>
      <c r="D37" s="8">
        <v>97.8</v>
      </c>
      <c r="E37" s="8">
        <v>75.9</v>
      </c>
      <c r="F37" s="8">
        <v>69.97</v>
      </c>
      <c r="G37" s="8">
        <v>67.87</v>
      </c>
      <c r="H37" s="8">
        <v>62.59</v>
      </c>
      <c r="I37" s="8">
        <v>60.49</v>
      </c>
      <c r="J37" s="8">
        <v>78.9</v>
      </c>
      <c r="K37" s="8">
        <v>72.83</v>
      </c>
      <c r="L37" s="8">
        <v>70.73</v>
      </c>
      <c r="M37" s="8">
        <v>76.83</v>
      </c>
      <c r="N37" s="8">
        <v>80.2</v>
      </c>
      <c r="O37" s="8">
        <v>45.76</v>
      </c>
      <c r="P37" s="8">
        <v>45.4</v>
      </c>
      <c r="Q37" s="8">
        <v>43.3</v>
      </c>
      <c r="R37" s="8">
        <v>38.02</v>
      </c>
      <c r="S37" s="8">
        <v>35.92</v>
      </c>
      <c r="T37" s="9">
        <v>25</v>
      </c>
      <c r="U37" s="9">
        <v>0</v>
      </c>
    </row>
    <row r="38" spans="1:21" ht="12.75" outlineLevel="1">
      <c r="A38" s="1">
        <f t="shared" si="0"/>
        <v>32</v>
      </c>
      <c r="B38" s="4" t="s">
        <v>106</v>
      </c>
      <c r="C38" s="8">
        <v>106.5</v>
      </c>
      <c r="D38" s="8">
        <v>97</v>
      </c>
      <c r="E38" s="8">
        <v>77.3</v>
      </c>
      <c r="F38" s="8">
        <v>71.45</v>
      </c>
      <c r="G38" s="8">
        <v>69.35</v>
      </c>
      <c r="H38" s="8">
        <v>63.92</v>
      </c>
      <c r="I38" s="8">
        <v>61.82</v>
      </c>
      <c r="J38" s="8">
        <v>80.7</v>
      </c>
      <c r="K38" s="8">
        <v>74.4</v>
      </c>
      <c r="L38" s="8">
        <v>72.3</v>
      </c>
      <c r="M38" s="8">
        <v>77.54</v>
      </c>
      <c r="N38" s="8">
        <v>81.2</v>
      </c>
      <c r="O38" s="8">
        <v>46.41</v>
      </c>
      <c r="P38" s="8">
        <v>46.04</v>
      </c>
      <c r="Q38" s="8">
        <v>43.94</v>
      </c>
      <c r="R38" s="8">
        <v>38.51</v>
      </c>
      <c r="S38" s="8">
        <v>36.41</v>
      </c>
      <c r="T38" s="9">
        <v>25</v>
      </c>
      <c r="U38" s="9">
        <v>0</v>
      </c>
    </row>
    <row r="39" spans="1:21" ht="12.75" outlineLevel="1">
      <c r="A39" s="1">
        <f t="shared" si="0"/>
        <v>33</v>
      </c>
      <c r="B39" s="4" t="s">
        <v>107</v>
      </c>
      <c r="C39" s="8">
        <v>103.4</v>
      </c>
      <c r="D39" s="8">
        <v>93.8</v>
      </c>
      <c r="E39" s="8">
        <v>75.1</v>
      </c>
      <c r="F39" s="8">
        <v>69.16</v>
      </c>
      <c r="G39" s="8">
        <v>67.06</v>
      </c>
      <c r="H39" s="8">
        <v>61.48</v>
      </c>
      <c r="I39" s="8">
        <v>59.38</v>
      </c>
      <c r="J39" s="8">
        <v>78.2</v>
      </c>
      <c r="K39" s="8">
        <v>72.2</v>
      </c>
      <c r="L39" s="8">
        <v>70.1</v>
      </c>
      <c r="M39" s="8">
        <v>73.83</v>
      </c>
      <c r="N39" s="8">
        <v>78</v>
      </c>
      <c r="O39" s="8">
        <v>43.91</v>
      </c>
      <c r="P39" s="8">
        <v>43.55</v>
      </c>
      <c r="Q39" s="8">
        <v>41.45</v>
      </c>
      <c r="R39" s="8">
        <v>35.87</v>
      </c>
      <c r="S39" s="8">
        <v>33.77</v>
      </c>
      <c r="T39" s="9">
        <v>25</v>
      </c>
      <c r="U39" s="9">
        <v>0</v>
      </c>
    </row>
    <row r="40" spans="1:21" ht="12.75" outlineLevel="1">
      <c r="A40" s="1">
        <f t="shared" si="0"/>
        <v>34</v>
      </c>
      <c r="B40" s="4" t="s">
        <v>108</v>
      </c>
      <c r="C40" s="8">
        <v>107.8</v>
      </c>
      <c r="D40" s="8">
        <v>97.4</v>
      </c>
      <c r="E40" s="8">
        <v>76.4</v>
      </c>
      <c r="F40" s="8">
        <v>70.48</v>
      </c>
      <c r="G40" s="8">
        <v>68.38</v>
      </c>
      <c r="H40" s="8">
        <v>62.65</v>
      </c>
      <c r="I40" s="8">
        <v>60.55</v>
      </c>
      <c r="J40" s="8">
        <v>79.6</v>
      </c>
      <c r="K40" s="8">
        <v>73.62</v>
      </c>
      <c r="L40" s="8">
        <v>71.52</v>
      </c>
      <c r="M40" s="8">
        <v>75.35</v>
      </c>
      <c r="N40" s="8">
        <v>79.9</v>
      </c>
      <c r="O40" s="8">
        <v>43.98</v>
      </c>
      <c r="P40" s="8">
        <v>43.61</v>
      </c>
      <c r="Q40" s="8">
        <v>41.51</v>
      </c>
      <c r="R40" s="8">
        <v>35.78</v>
      </c>
      <c r="S40" s="8">
        <v>33.68</v>
      </c>
      <c r="T40" s="9">
        <v>25</v>
      </c>
      <c r="U40" s="9">
        <v>0</v>
      </c>
    </row>
    <row r="41" spans="1:21" ht="12.75" outlineLevel="1">
      <c r="A41" s="1">
        <f t="shared" si="0"/>
        <v>35</v>
      </c>
      <c r="B41" s="4" t="s">
        <v>109</v>
      </c>
      <c r="C41" s="8">
        <v>100.8</v>
      </c>
      <c r="D41" s="8">
        <v>91</v>
      </c>
      <c r="E41" s="8">
        <v>71</v>
      </c>
      <c r="F41" s="8">
        <v>65.09</v>
      </c>
      <c r="G41" s="8">
        <v>62.99</v>
      </c>
      <c r="H41" s="8">
        <v>57.11</v>
      </c>
      <c r="I41" s="8">
        <v>55.01</v>
      </c>
      <c r="J41" s="8">
        <v>74.3</v>
      </c>
      <c r="K41" s="8">
        <v>68.3</v>
      </c>
      <c r="L41" s="8">
        <v>66.2</v>
      </c>
      <c r="M41" s="8">
        <v>69.77</v>
      </c>
      <c r="N41" s="8">
        <v>75</v>
      </c>
      <c r="O41" s="8">
        <v>41.36</v>
      </c>
      <c r="P41" s="8">
        <v>41</v>
      </c>
      <c r="Q41" s="8">
        <v>38.9</v>
      </c>
      <c r="R41" s="8">
        <v>33.02</v>
      </c>
      <c r="S41" s="8">
        <v>30.92</v>
      </c>
      <c r="T41" s="9">
        <v>25</v>
      </c>
      <c r="U41" s="9">
        <v>0</v>
      </c>
    </row>
    <row r="42" spans="1:21" ht="12.75" outlineLevel="1">
      <c r="A42" s="1">
        <f t="shared" si="0"/>
        <v>36</v>
      </c>
      <c r="B42" s="4" t="s">
        <v>110</v>
      </c>
      <c r="C42" s="8">
        <v>95</v>
      </c>
      <c r="D42" s="8">
        <v>86.6</v>
      </c>
      <c r="E42" s="8">
        <v>67.2</v>
      </c>
      <c r="F42" s="8">
        <v>61.27</v>
      </c>
      <c r="G42" s="8">
        <v>59.17</v>
      </c>
      <c r="H42" s="8">
        <v>53.14</v>
      </c>
      <c r="I42" s="8">
        <v>51.04</v>
      </c>
      <c r="J42" s="8">
        <v>70.6</v>
      </c>
      <c r="K42" s="8">
        <v>64.57</v>
      </c>
      <c r="L42" s="8">
        <v>62.47</v>
      </c>
      <c r="M42" s="8">
        <v>66.6</v>
      </c>
      <c r="N42" s="8">
        <v>72.2</v>
      </c>
      <c r="O42" s="8">
        <v>39.83</v>
      </c>
      <c r="P42" s="8">
        <v>39.46</v>
      </c>
      <c r="Q42" s="8">
        <v>37.36</v>
      </c>
      <c r="R42" s="8">
        <v>31.33</v>
      </c>
      <c r="S42" s="8">
        <v>29.23</v>
      </c>
      <c r="T42" s="9">
        <v>25</v>
      </c>
      <c r="U42" s="9">
        <v>51.45</v>
      </c>
    </row>
    <row r="43" spans="1:21" ht="12.75" outlineLevel="1">
      <c r="A43" s="1">
        <f t="shared" si="0"/>
        <v>37</v>
      </c>
      <c r="B43" s="4" t="s">
        <v>111</v>
      </c>
      <c r="C43" s="8">
        <v>97.9</v>
      </c>
      <c r="D43" s="8">
        <v>89.3</v>
      </c>
      <c r="E43" s="8">
        <v>68.3</v>
      </c>
      <c r="F43" s="8">
        <v>62.37</v>
      </c>
      <c r="G43" s="8">
        <v>60.27</v>
      </c>
      <c r="H43" s="8">
        <v>54.09</v>
      </c>
      <c r="I43" s="8">
        <v>51.99</v>
      </c>
      <c r="J43" s="8">
        <v>71.8</v>
      </c>
      <c r="K43" s="8">
        <v>65.77</v>
      </c>
      <c r="L43" s="8">
        <v>63.67</v>
      </c>
      <c r="M43" s="8">
        <v>68.17</v>
      </c>
      <c r="N43" s="8">
        <v>74</v>
      </c>
      <c r="O43" s="8">
        <v>39.76</v>
      </c>
      <c r="P43" s="8">
        <v>39.39</v>
      </c>
      <c r="Q43" s="8">
        <v>37.29</v>
      </c>
      <c r="R43" s="8">
        <v>31.11</v>
      </c>
      <c r="S43" s="8">
        <v>29.01</v>
      </c>
      <c r="T43" s="9">
        <v>25</v>
      </c>
      <c r="U43" s="9">
        <v>17.35</v>
      </c>
    </row>
    <row r="44" spans="1:21" ht="12.75" outlineLevel="1">
      <c r="A44" s="1">
        <f t="shared" si="0"/>
        <v>38</v>
      </c>
      <c r="B44" s="4" t="s">
        <v>112</v>
      </c>
      <c r="C44" s="8">
        <v>101.5</v>
      </c>
      <c r="D44" s="8">
        <v>92.1</v>
      </c>
      <c r="E44" s="8">
        <v>70.4</v>
      </c>
      <c r="F44" s="8">
        <v>64.52</v>
      </c>
      <c r="G44" s="8">
        <v>62.42</v>
      </c>
      <c r="H44" s="8">
        <v>56.09</v>
      </c>
      <c r="I44" s="8">
        <v>53.99</v>
      </c>
      <c r="J44" s="8">
        <v>74</v>
      </c>
      <c r="K44" s="8">
        <v>68.01</v>
      </c>
      <c r="L44" s="8">
        <v>65.91</v>
      </c>
      <c r="M44" s="8">
        <v>70.19</v>
      </c>
      <c r="N44" s="8">
        <v>76.4</v>
      </c>
      <c r="O44" s="8">
        <v>40.42</v>
      </c>
      <c r="P44" s="8">
        <v>40.05</v>
      </c>
      <c r="Q44" s="8">
        <v>37.95</v>
      </c>
      <c r="R44" s="8">
        <v>31.62</v>
      </c>
      <c r="S44" s="8">
        <v>29.52</v>
      </c>
      <c r="T44" s="9">
        <v>25</v>
      </c>
      <c r="U44" s="9">
        <v>52</v>
      </c>
    </row>
    <row r="45" spans="1:21" ht="12.75" outlineLevel="1">
      <c r="A45" s="1">
        <f t="shared" si="0"/>
        <v>39</v>
      </c>
      <c r="B45" s="4" t="s">
        <v>113</v>
      </c>
      <c r="C45" s="8">
        <v>104.1</v>
      </c>
      <c r="D45" s="8">
        <v>95.2</v>
      </c>
      <c r="E45" s="8">
        <v>74.1</v>
      </c>
      <c r="F45" s="8">
        <v>68.21</v>
      </c>
      <c r="G45" s="8">
        <v>66.11</v>
      </c>
      <c r="H45" s="8">
        <v>59.63</v>
      </c>
      <c r="I45" s="8">
        <v>57.23</v>
      </c>
      <c r="J45" s="8">
        <v>77.8</v>
      </c>
      <c r="K45" s="8">
        <v>71.79</v>
      </c>
      <c r="L45" s="8">
        <v>69.69</v>
      </c>
      <c r="M45" s="8">
        <v>73.2</v>
      </c>
      <c r="N45" s="8">
        <v>79.7</v>
      </c>
      <c r="O45" s="8">
        <v>41.41</v>
      </c>
      <c r="P45" s="8">
        <v>41.04</v>
      </c>
      <c r="Q45" s="8">
        <v>38.94</v>
      </c>
      <c r="R45" s="8">
        <v>32.46</v>
      </c>
      <c r="S45" s="8">
        <v>30.36</v>
      </c>
      <c r="T45" s="9">
        <v>25</v>
      </c>
      <c r="U45" s="9">
        <v>52.51</v>
      </c>
    </row>
    <row r="46" spans="1:21" ht="12.75" outlineLevel="1">
      <c r="A46" s="1">
        <f t="shared" si="0"/>
        <v>40</v>
      </c>
      <c r="B46" s="4" t="s">
        <v>114</v>
      </c>
      <c r="C46" s="8">
        <v>101.6</v>
      </c>
      <c r="D46" s="8">
        <v>93.5</v>
      </c>
      <c r="E46" s="8">
        <v>75.5</v>
      </c>
      <c r="F46" s="8">
        <v>69.58</v>
      </c>
      <c r="G46" s="8">
        <v>67.48</v>
      </c>
      <c r="H46" s="8">
        <v>60.85</v>
      </c>
      <c r="I46" s="8">
        <v>58.75</v>
      </c>
      <c r="J46" s="8">
        <v>79.3</v>
      </c>
      <c r="K46" s="8">
        <v>73.28</v>
      </c>
      <c r="L46" s="8">
        <v>71.18</v>
      </c>
      <c r="M46" s="8">
        <v>73.66</v>
      </c>
      <c r="N46" s="8">
        <v>80.5</v>
      </c>
      <c r="O46" s="8">
        <v>41.13</v>
      </c>
      <c r="P46" s="8">
        <v>40.77</v>
      </c>
      <c r="Q46" s="8">
        <v>38.67</v>
      </c>
      <c r="R46" s="8">
        <v>32.04</v>
      </c>
      <c r="S46" s="8">
        <v>29.94</v>
      </c>
      <c r="T46" s="9">
        <v>25</v>
      </c>
      <c r="U46" s="9">
        <v>52.77</v>
      </c>
    </row>
    <row r="47" spans="1:21" ht="12.75" outlineLevel="1">
      <c r="A47" s="1">
        <f t="shared" si="0"/>
        <v>41</v>
      </c>
      <c r="B47" s="4" t="s">
        <v>115</v>
      </c>
      <c r="C47" s="8">
        <v>101.3</v>
      </c>
      <c r="D47" s="8">
        <v>93.4</v>
      </c>
      <c r="E47" s="8">
        <v>74.6</v>
      </c>
      <c r="F47" s="8">
        <v>68.7</v>
      </c>
      <c r="G47" s="8">
        <v>66.6</v>
      </c>
      <c r="H47" s="8">
        <v>58.1</v>
      </c>
      <c r="I47" s="8">
        <v>56</v>
      </c>
      <c r="J47" s="8">
        <v>78</v>
      </c>
      <c r="K47" s="8">
        <v>72.01</v>
      </c>
      <c r="L47" s="8">
        <v>69.91</v>
      </c>
      <c r="M47" s="8">
        <v>70.31</v>
      </c>
      <c r="N47" s="8">
        <v>77.9</v>
      </c>
      <c r="O47" s="8">
        <v>42.07</v>
      </c>
      <c r="P47" s="8">
        <v>41.71</v>
      </c>
      <c r="Q47" s="8">
        <v>39.61</v>
      </c>
      <c r="R47" s="8">
        <v>31.97</v>
      </c>
      <c r="S47" s="8">
        <v>29.87</v>
      </c>
      <c r="T47" s="9">
        <v>25</v>
      </c>
      <c r="U47" s="9">
        <v>50.19</v>
      </c>
    </row>
    <row r="48" spans="1:21" ht="12.75" outlineLevel="1">
      <c r="A48" s="1">
        <f t="shared" si="0"/>
        <v>42</v>
      </c>
      <c r="B48" s="4" t="s">
        <v>116</v>
      </c>
      <c r="C48" s="8">
        <v>102.3</v>
      </c>
      <c r="D48" s="8">
        <v>94.1</v>
      </c>
      <c r="E48" s="8">
        <v>75.8</v>
      </c>
      <c r="F48" s="8">
        <v>69.89</v>
      </c>
      <c r="G48" s="8">
        <v>67.79</v>
      </c>
      <c r="H48" s="8">
        <v>59.43</v>
      </c>
      <c r="I48" s="8">
        <v>57.33</v>
      </c>
      <c r="J48" s="8">
        <v>79.2</v>
      </c>
      <c r="K48" s="8">
        <v>73.16</v>
      </c>
      <c r="L48" s="8">
        <v>71.06</v>
      </c>
      <c r="M48" s="8">
        <v>70.04</v>
      </c>
      <c r="N48" s="8">
        <v>77.6</v>
      </c>
      <c r="O48" s="8">
        <v>44.05</v>
      </c>
      <c r="P48" s="8">
        <v>43.68</v>
      </c>
      <c r="Q48" s="8">
        <v>41.58</v>
      </c>
      <c r="R48" s="8">
        <v>33.7</v>
      </c>
      <c r="S48" s="8">
        <v>31.6</v>
      </c>
      <c r="T48" s="9">
        <v>25</v>
      </c>
      <c r="U48" s="9">
        <v>51.17</v>
      </c>
    </row>
    <row r="49" spans="1:21" ht="12.75" outlineLevel="1">
      <c r="A49" s="1">
        <f t="shared" si="0"/>
        <v>43</v>
      </c>
      <c r="B49" s="4" t="s">
        <v>117</v>
      </c>
      <c r="C49" s="8">
        <v>102.5</v>
      </c>
      <c r="D49" s="8">
        <v>93.8</v>
      </c>
      <c r="E49" s="8">
        <v>77</v>
      </c>
      <c r="F49" s="8">
        <v>71.06</v>
      </c>
      <c r="G49" s="8">
        <v>68.96</v>
      </c>
      <c r="H49" s="8">
        <v>60.6</v>
      </c>
      <c r="I49" s="8">
        <v>58.5</v>
      </c>
      <c r="J49" s="8">
        <v>80.4</v>
      </c>
      <c r="K49" s="8">
        <v>74.32</v>
      </c>
      <c r="L49" s="8">
        <v>72.22</v>
      </c>
      <c r="M49" s="8">
        <v>70.28</v>
      </c>
      <c r="N49" s="8">
        <v>77.9</v>
      </c>
      <c r="O49" s="8">
        <v>44.16</v>
      </c>
      <c r="P49" s="8">
        <v>43.8</v>
      </c>
      <c r="Q49" s="8">
        <v>41.7</v>
      </c>
      <c r="R49" s="8">
        <v>33.58</v>
      </c>
      <c r="S49" s="8">
        <v>31.48</v>
      </c>
      <c r="T49" s="9">
        <v>25</v>
      </c>
      <c r="U49" s="9">
        <v>51.04</v>
      </c>
    </row>
    <row r="50" spans="1:21" ht="12.75" outlineLevel="1">
      <c r="A50" s="1">
        <f t="shared" si="0"/>
        <v>44</v>
      </c>
      <c r="B50" s="4" t="s">
        <v>118</v>
      </c>
      <c r="C50" s="8">
        <v>103.8</v>
      </c>
      <c r="D50" s="8">
        <v>94.5</v>
      </c>
      <c r="E50" s="8">
        <v>76.7</v>
      </c>
      <c r="F50" s="8">
        <v>70.78</v>
      </c>
      <c r="G50" s="8">
        <v>68.68</v>
      </c>
      <c r="H50" s="8">
        <v>60.32</v>
      </c>
      <c r="I50" s="8">
        <v>58.22</v>
      </c>
      <c r="J50" s="8">
        <v>80</v>
      </c>
      <c r="K50" s="8">
        <v>74.01</v>
      </c>
      <c r="L50" s="8">
        <v>71.91</v>
      </c>
      <c r="M50" s="8">
        <v>69.14</v>
      </c>
      <c r="N50" s="8">
        <v>76.6</v>
      </c>
      <c r="O50" s="8">
        <v>44.76</v>
      </c>
      <c r="P50" s="8">
        <v>44.4</v>
      </c>
      <c r="Q50" s="8">
        <v>42.3</v>
      </c>
      <c r="R50" s="8">
        <v>33.94</v>
      </c>
      <c r="S50" s="8">
        <v>31.84</v>
      </c>
      <c r="T50" s="9">
        <v>25</v>
      </c>
      <c r="U50" s="9">
        <v>52.75</v>
      </c>
    </row>
    <row r="51" spans="1:21" ht="12.75" outlineLevel="1">
      <c r="A51" s="1">
        <f t="shared" si="0"/>
        <v>45</v>
      </c>
      <c r="B51" s="4" t="s">
        <v>119</v>
      </c>
      <c r="C51" s="8">
        <v>99.4</v>
      </c>
      <c r="D51" s="8">
        <v>90.1</v>
      </c>
      <c r="E51" s="8">
        <v>69.6</v>
      </c>
      <c r="F51" s="8">
        <v>63.66</v>
      </c>
      <c r="G51" s="8">
        <v>61.56</v>
      </c>
      <c r="H51" s="8">
        <v>53.2</v>
      </c>
      <c r="I51" s="8">
        <v>51.1</v>
      </c>
      <c r="J51" s="8">
        <v>72.9</v>
      </c>
      <c r="K51" s="8">
        <v>66.89</v>
      </c>
      <c r="L51" s="8">
        <v>64.79</v>
      </c>
      <c r="M51" s="8">
        <v>61.6</v>
      </c>
      <c r="N51" s="8">
        <v>69.2</v>
      </c>
      <c r="O51" s="8">
        <v>40.06</v>
      </c>
      <c r="P51" s="8">
        <v>39.69</v>
      </c>
      <c r="Q51" s="8">
        <v>37.59</v>
      </c>
      <c r="R51" s="8">
        <v>29.23</v>
      </c>
      <c r="S51" s="8">
        <v>27.13</v>
      </c>
      <c r="T51" s="9">
        <v>25</v>
      </c>
      <c r="U51" s="9">
        <v>49.58</v>
      </c>
    </row>
    <row r="52" spans="1:21" ht="12.75" outlineLevel="1">
      <c r="A52" s="1">
        <f t="shared" si="0"/>
        <v>46</v>
      </c>
      <c r="B52" s="4" t="s">
        <v>120</v>
      </c>
      <c r="C52" s="8">
        <v>94.6</v>
      </c>
      <c r="D52" s="8">
        <v>85.3</v>
      </c>
      <c r="E52" s="8">
        <v>64.4</v>
      </c>
      <c r="F52" s="8">
        <v>58.46</v>
      </c>
      <c r="G52" s="8">
        <v>56.36</v>
      </c>
      <c r="H52" s="8">
        <v>48</v>
      </c>
      <c r="I52" s="8">
        <v>45.9</v>
      </c>
      <c r="J52" s="8">
        <v>67.7</v>
      </c>
      <c r="K52" s="8">
        <v>61.67</v>
      </c>
      <c r="L52" s="8">
        <v>59.57</v>
      </c>
      <c r="M52" s="8">
        <v>56.34</v>
      </c>
      <c r="N52" s="8">
        <v>64.3</v>
      </c>
      <c r="O52" s="8">
        <v>34.24</v>
      </c>
      <c r="P52" s="8">
        <v>33.87</v>
      </c>
      <c r="Q52" s="8">
        <v>31.77</v>
      </c>
      <c r="R52" s="8">
        <v>23.41</v>
      </c>
      <c r="S52" s="8">
        <v>21.31</v>
      </c>
      <c r="T52" s="9">
        <v>25</v>
      </c>
      <c r="U52" s="9">
        <v>44.99</v>
      </c>
    </row>
    <row r="53" spans="1:21" ht="12.75" outlineLevel="1">
      <c r="A53" s="1">
        <f t="shared" si="0"/>
        <v>47</v>
      </c>
      <c r="B53" s="4" t="s">
        <v>121</v>
      </c>
      <c r="C53" s="8">
        <v>94.9</v>
      </c>
      <c r="D53" s="8">
        <v>85.8</v>
      </c>
      <c r="E53" s="8">
        <v>64.9</v>
      </c>
      <c r="F53" s="8">
        <v>59.04</v>
      </c>
      <c r="G53" s="8">
        <v>56.94</v>
      </c>
      <c r="H53" s="8">
        <v>48.58</v>
      </c>
      <c r="I53" s="8">
        <v>46.48</v>
      </c>
      <c r="J53" s="8">
        <v>68.3</v>
      </c>
      <c r="K53" s="8">
        <v>62.25</v>
      </c>
      <c r="L53" s="8">
        <v>60.15</v>
      </c>
      <c r="M53" s="8">
        <v>56.87</v>
      </c>
      <c r="N53" s="8">
        <v>64.7</v>
      </c>
      <c r="O53" s="8">
        <v>30.72</v>
      </c>
      <c r="P53" s="8">
        <v>30.36</v>
      </c>
      <c r="Q53" s="8">
        <v>28.26</v>
      </c>
      <c r="R53" s="8">
        <v>19.9</v>
      </c>
      <c r="S53" s="8">
        <v>17.8</v>
      </c>
      <c r="T53" s="9">
        <v>25</v>
      </c>
      <c r="U53" s="9">
        <v>44.71</v>
      </c>
    </row>
    <row r="54" spans="1:21" ht="12.75" outlineLevel="1">
      <c r="A54" s="1">
        <f t="shared" si="0"/>
        <v>48</v>
      </c>
      <c r="B54" s="4" t="s">
        <v>122</v>
      </c>
      <c r="C54" s="8">
        <v>97</v>
      </c>
      <c r="D54" s="8">
        <v>88</v>
      </c>
      <c r="E54" s="8">
        <v>66.9</v>
      </c>
      <c r="F54" s="8">
        <v>60.99</v>
      </c>
      <c r="G54" s="8">
        <v>58.89</v>
      </c>
      <c r="H54" s="8">
        <v>50.53</v>
      </c>
      <c r="I54" s="8">
        <v>48.43</v>
      </c>
      <c r="J54" s="8">
        <v>70.2</v>
      </c>
      <c r="K54" s="8">
        <v>64.2</v>
      </c>
      <c r="L54" s="8">
        <v>62.1</v>
      </c>
      <c r="M54" s="8">
        <v>58.66</v>
      </c>
      <c r="N54" s="8">
        <v>66.5</v>
      </c>
      <c r="O54" s="8">
        <v>31.43</v>
      </c>
      <c r="P54" s="8">
        <v>31.07</v>
      </c>
      <c r="Q54" s="8">
        <v>28.97</v>
      </c>
      <c r="R54" s="8">
        <v>20.61</v>
      </c>
      <c r="S54" s="8">
        <v>18.51</v>
      </c>
      <c r="T54" s="9">
        <v>25</v>
      </c>
      <c r="U54" s="9">
        <v>46.35</v>
      </c>
    </row>
    <row r="55" spans="1:21" ht="12.75" outlineLevel="1">
      <c r="A55" s="1">
        <f t="shared" si="0"/>
        <v>49</v>
      </c>
      <c r="B55" s="4" t="s">
        <v>123</v>
      </c>
      <c r="C55" s="8">
        <v>92.8</v>
      </c>
      <c r="D55" s="8">
        <v>84</v>
      </c>
      <c r="E55" s="8">
        <v>62.4</v>
      </c>
      <c r="F55" s="8">
        <v>56.46</v>
      </c>
      <c r="G55" s="8">
        <v>54.36</v>
      </c>
      <c r="H55" s="8">
        <v>46</v>
      </c>
      <c r="I55" s="8">
        <v>43.9</v>
      </c>
      <c r="J55" s="8">
        <v>65.7</v>
      </c>
      <c r="K55" s="8">
        <v>59.67</v>
      </c>
      <c r="L55" s="8">
        <v>57.57</v>
      </c>
      <c r="M55" s="8">
        <v>54.03</v>
      </c>
      <c r="N55" s="8">
        <v>62.1</v>
      </c>
      <c r="O55" s="8">
        <v>30.81</v>
      </c>
      <c r="P55" s="8">
        <v>30.45</v>
      </c>
      <c r="Q55" s="8">
        <v>28.35</v>
      </c>
      <c r="R55" s="8">
        <v>19.99</v>
      </c>
      <c r="S55" s="8">
        <v>17.89</v>
      </c>
      <c r="T55" s="9">
        <v>25</v>
      </c>
      <c r="U55" s="9">
        <v>44.37</v>
      </c>
    </row>
    <row r="56" spans="1:21" ht="12.75" outlineLevel="1">
      <c r="A56" s="1">
        <f t="shared" si="0"/>
        <v>50</v>
      </c>
      <c r="B56" s="4" t="s">
        <v>124</v>
      </c>
      <c r="C56" s="8">
        <v>85.5</v>
      </c>
      <c r="D56" s="8">
        <v>76.8</v>
      </c>
      <c r="E56" s="8">
        <v>57.1</v>
      </c>
      <c r="F56" s="8">
        <v>51.17</v>
      </c>
      <c r="G56" s="8">
        <v>49.07</v>
      </c>
      <c r="H56" s="8">
        <v>40.71</v>
      </c>
      <c r="I56" s="8">
        <v>38.61</v>
      </c>
      <c r="J56" s="8">
        <v>60.4</v>
      </c>
      <c r="K56" s="8">
        <v>54.38</v>
      </c>
      <c r="L56" s="8">
        <v>52.28</v>
      </c>
      <c r="M56" s="8">
        <v>48.82</v>
      </c>
      <c r="N56" s="8">
        <v>57.1</v>
      </c>
      <c r="O56" s="8">
        <v>31.36</v>
      </c>
      <c r="P56" s="8">
        <v>30.99</v>
      </c>
      <c r="Q56" s="8">
        <v>28.89</v>
      </c>
      <c r="R56" s="8">
        <v>20.53</v>
      </c>
      <c r="S56" s="8">
        <v>18.43</v>
      </c>
      <c r="T56" s="9">
        <v>25</v>
      </c>
      <c r="U56" s="9">
        <v>40.9</v>
      </c>
    </row>
    <row r="57" spans="1:21" ht="12.75" outlineLevel="1">
      <c r="A57" s="1">
        <f t="shared" si="0"/>
        <v>51</v>
      </c>
      <c r="B57" s="4" t="s">
        <v>125</v>
      </c>
      <c r="C57" s="8">
        <v>88</v>
      </c>
      <c r="D57" s="8">
        <v>79.3</v>
      </c>
      <c r="E57" s="8">
        <v>62</v>
      </c>
      <c r="F57" s="8">
        <v>56.08</v>
      </c>
      <c r="G57" s="8">
        <v>53.98</v>
      </c>
      <c r="H57" s="8">
        <v>45.62</v>
      </c>
      <c r="I57" s="8">
        <v>43.52</v>
      </c>
      <c r="J57" s="8">
        <v>65.3</v>
      </c>
      <c r="K57" s="8">
        <v>59.3</v>
      </c>
      <c r="L57" s="8">
        <v>57.2</v>
      </c>
      <c r="M57" s="8">
        <v>54.2</v>
      </c>
      <c r="N57" s="8">
        <v>62.4</v>
      </c>
      <c r="O57" s="8">
        <v>33.98</v>
      </c>
      <c r="P57" s="8">
        <v>33.62</v>
      </c>
      <c r="Q57" s="8">
        <v>31.52</v>
      </c>
      <c r="R57" s="8">
        <v>23.16</v>
      </c>
      <c r="S57" s="8">
        <v>21.06</v>
      </c>
      <c r="T57" s="9">
        <v>25</v>
      </c>
      <c r="U57" s="9">
        <v>43.48</v>
      </c>
    </row>
    <row r="58" spans="1:21" ht="12.75" outlineLevel="1">
      <c r="A58" s="1">
        <f t="shared" si="0"/>
        <v>52</v>
      </c>
      <c r="B58" s="4" t="s">
        <v>126</v>
      </c>
      <c r="C58" s="11">
        <v>90.2</v>
      </c>
      <c r="D58" s="11">
        <v>81.3</v>
      </c>
      <c r="E58" s="11">
        <v>63.6</v>
      </c>
      <c r="F58" s="11">
        <v>57.68</v>
      </c>
      <c r="G58" s="11">
        <v>55.58</v>
      </c>
      <c r="H58" s="11">
        <v>46.93</v>
      </c>
      <c r="I58" s="11">
        <v>44.83</v>
      </c>
      <c r="J58" s="11">
        <v>67</v>
      </c>
      <c r="K58" s="11">
        <v>60.97</v>
      </c>
      <c r="L58" s="11">
        <v>58.87</v>
      </c>
      <c r="M58" s="11">
        <v>54.71</v>
      </c>
      <c r="N58" s="11">
        <v>63.2</v>
      </c>
      <c r="O58" s="11">
        <v>35.87</v>
      </c>
      <c r="P58" s="11">
        <v>35.51</v>
      </c>
      <c r="Q58" s="11">
        <v>33.41</v>
      </c>
      <c r="R58" s="11">
        <v>24.76</v>
      </c>
      <c r="S58" s="11">
        <v>22.66</v>
      </c>
      <c r="T58" s="12">
        <v>25</v>
      </c>
      <c r="U58" s="12">
        <v>46.56</v>
      </c>
    </row>
    <row r="59" spans="2:21" ht="13.5" thickBot="1">
      <c r="B59" s="2" t="s">
        <v>65</v>
      </c>
      <c r="C59" s="16">
        <f aca="true" t="shared" si="1" ref="C59:S59">SUM(C7:C58)/52</f>
        <v>100.31750000000002</v>
      </c>
      <c r="D59" s="16">
        <f t="shared" si="1"/>
        <v>91.49115384615386</v>
      </c>
      <c r="E59" s="16">
        <f t="shared" si="1"/>
        <v>68.58653846153847</v>
      </c>
      <c r="F59" s="16">
        <f t="shared" si="1"/>
        <v>62.98499999999998</v>
      </c>
      <c r="G59" s="16">
        <f t="shared" si="1"/>
        <v>61.07923076923076</v>
      </c>
      <c r="H59" s="16">
        <f t="shared" si="1"/>
        <v>55.16</v>
      </c>
      <c r="I59" s="16">
        <f t="shared" si="1"/>
        <v>53.22923076923075</v>
      </c>
      <c r="J59" s="16">
        <f t="shared" si="1"/>
        <v>71.37519230769232</v>
      </c>
      <c r="K59" s="16">
        <f t="shared" si="1"/>
        <v>65.73057692307694</v>
      </c>
      <c r="L59" s="16">
        <f t="shared" si="1"/>
        <v>63.805576923076906</v>
      </c>
      <c r="M59" s="16">
        <f t="shared" si="1"/>
        <v>66.75942307692308</v>
      </c>
      <c r="N59" s="16">
        <f t="shared" si="1"/>
        <v>70.87499999999999</v>
      </c>
      <c r="O59" s="16">
        <f t="shared" si="1"/>
        <v>42.31557692307693</v>
      </c>
      <c r="P59" s="16">
        <f t="shared" si="1"/>
        <v>41.91134615384614</v>
      </c>
      <c r="Q59" s="16">
        <f t="shared" si="1"/>
        <v>39.986346153846156</v>
      </c>
      <c r="R59" s="16">
        <f t="shared" si="1"/>
        <v>34.11673076923076</v>
      </c>
      <c r="S59" s="16">
        <f t="shared" si="1"/>
        <v>32.19173076923077</v>
      </c>
      <c r="T59" s="16">
        <f>SUM(T7:T58)/52</f>
        <v>25</v>
      </c>
      <c r="U59" s="16">
        <f>SUM(U7:U58)/17</f>
        <v>46.59823529411765</v>
      </c>
    </row>
    <row r="60" ht="13.5" thickTop="1"/>
  </sheetData>
  <sheetProtection/>
  <mergeCells count="4">
    <mergeCell ref="C5:S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8" width="8.28125" style="0" bestFit="1" customWidth="1"/>
    <col min="9" max="9" width="8.140625" style="0" customWidth="1"/>
    <col min="10" max="10" width="7.7109375" style="0" customWidth="1"/>
    <col min="11" max="12" width="7.7109375" style="0" bestFit="1" customWidth="1"/>
    <col min="13" max="13" width="6.7109375" style="0" bestFit="1" customWidth="1"/>
    <col min="14" max="14" width="8.7109375" style="0" customWidth="1"/>
    <col min="15" max="15" width="5.57421875" style="0" bestFit="1" customWidth="1"/>
    <col min="16" max="16" width="8.00390625" style="0" customWidth="1"/>
    <col min="17" max="17" width="7.7109375" style="0" customWidth="1"/>
    <col min="18" max="18" width="6.28125" style="0" customWidth="1"/>
    <col min="19" max="19" width="6.00390625" style="0" customWidth="1"/>
    <col min="20" max="20" width="5.28125" style="0" customWidth="1"/>
    <col min="21" max="21" width="6.57421875" style="0" customWidth="1"/>
  </cols>
  <sheetData>
    <row r="1" spans="1:21" ht="18">
      <c r="A1" s="131" t="s">
        <v>708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127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6.25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</row>
    <row r="7" spans="1:21" ht="12.75">
      <c r="A7" s="1">
        <f>1</f>
        <v>1</v>
      </c>
      <c r="B7" s="3" t="s">
        <v>128</v>
      </c>
      <c r="C7" s="5">
        <v>91.6</v>
      </c>
      <c r="D7" s="5">
        <v>82.2</v>
      </c>
      <c r="E7" s="5">
        <v>61.6</v>
      </c>
      <c r="F7" s="5">
        <v>55.74</v>
      </c>
      <c r="G7" s="5">
        <v>53.64</v>
      </c>
      <c r="H7" s="5">
        <v>44.99</v>
      </c>
      <c r="I7" s="5">
        <v>42.89</v>
      </c>
      <c r="J7" s="5">
        <v>65.1</v>
      </c>
      <c r="K7" s="5">
        <v>59.07</v>
      </c>
      <c r="L7" s="5">
        <v>56.97</v>
      </c>
      <c r="M7" s="5">
        <v>54.7</v>
      </c>
      <c r="N7" s="5">
        <v>62.7</v>
      </c>
      <c r="O7" s="5">
        <v>36.7</v>
      </c>
      <c r="P7" s="5">
        <v>36.33</v>
      </c>
      <c r="Q7" s="5">
        <v>34.23</v>
      </c>
      <c r="R7" s="5">
        <v>25.58</v>
      </c>
      <c r="S7" s="5">
        <v>23.48</v>
      </c>
      <c r="T7" s="5">
        <v>25</v>
      </c>
      <c r="U7" s="6">
        <v>47.02</v>
      </c>
    </row>
    <row r="8" spans="1:21" ht="12.75">
      <c r="A8" s="1">
        <f>A7+1</f>
        <v>2</v>
      </c>
      <c r="B8" s="4" t="s">
        <v>129</v>
      </c>
      <c r="C8" s="8">
        <v>95.9</v>
      </c>
      <c r="D8" s="8">
        <v>86.3</v>
      </c>
      <c r="E8" s="8">
        <v>62.1</v>
      </c>
      <c r="F8" s="8">
        <v>56.21</v>
      </c>
      <c r="G8" s="8">
        <v>54.11</v>
      </c>
      <c r="H8" s="8">
        <v>45.46</v>
      </c>
      <c r="I8" s="8">
        <v>43.36</v>
      </c>
      <c r="J8" s="8">
        <v>65.5</v>
      </c>
      <c r="K8" s="8">
        <v>59.53</v>
      </c>
      <c r="L8" s="8">
        <v>57.43</v>
      </c>
      <c r="M8" s="8">
        <v>54.56</v>
      </c>
      <c r="N8" s="8">
        <v>62.6</v>
      </c>
      <c r="O8" s="8">
        <v>38.21</v>
      </c>
      <c r="P8" s="8">
        <v>37.84</v>
      </c>
      <c r="Q8" s="8">
        <v>35.74</v>
      </c>
      <c r="R8" s="8">
        <v>27.09</v>
      </c>
      <c r="S8" s="8">
        <v>24.99</v>
      </c>
      <c r="T8" s="8">
        <v>25</v>
      </c>
      <c r="U8" s="9">
        <v>46.14</v>
      </c>
    </row>
    <row r="9" spans="1:21" ht="12.75">
      <c r="A9" s="1">
        <f aca="true" t="shared" si="0" ref="A9:A58">A8+1</f>
        <v>3</v>
      </c>
      <c r="B9" s="4" t="s">
        <v>130</v>
      </c>
      <c r="C9" s="8">
        <v>98.1</v>
      </c>
      <c r="D9" s="8">
        <v>88.7</v>
      </c>
      <c r="E9" s="8">
        <v>66.2</v>
      </c>
      <c r="F9" s="8">
        <v>60.28</v>
      </c>
      <c r="G9" s="8">
        <v>58.18</v>
      </c>
      <c r="H9" s="8">
        <v>49.53</v>
      </c>
      <c r="I9" s="8">
        <v>47.43</v>
      </c>
      <c r="J9" s="8">
        <v>69.6</v>
      </c>
      <c r="K9" s="8">
        <v>63.6</v>
      </c>
      <c r="L9" s="8">
        <v>61.5</v>
      </c>
      <c r="M9" s="8">
        <v>59.24</v>
      </c>
      <c r="N9" s="8">
        <v>67.3</v>
      </c>
      <c r="O9" s="8">
        <v>39.13</v>
      </c>
      <c r="P9" s="8">
        <v>38.77</v>
      </c>
      <c r="Q9" s="8">
        <v>36.67</v>
      </c>
      <c r="R9" s="8">
        <v>28.02</v>
      </c>
      <c r="S9" s="8">
        <v>25.92</v>
      </c>
      <c r="T9" s="8">
        <v>25</v>
      </c>
      <c r="U9" s="9">
        <v>46.94</v>
      </c>
    </row>
    <row r="10" spans="1:21" ht="12.75">
      <c r="A10" s="1">
        <f t="shared" si="0"/>
        <v>4</v>
      </c>
      <c r="B10" s="4" t="s">
        <v>131</v>
      </c>
      <c r="C10" s="8">
        <v>97.9</v>
      </c>
      <c r="D10" s="8">
        <v>88.7</v>
      </c>
      <c r="E10" s="8">
        <v>65.8</v>
      </c>
      <c r="F10" s="8">
        <v>59.88</v>
      </c>
      <c r="G10" s="8">
        <v>57.78</v>
      </c>
      <c r="H10" s="8">
        <v>49.29</v>
      </c>
      <c r="I10" s="8">
        <v>47.19</v>
      </c>
      <c r="J10" s="8">
        <v>69.2</v>
      </c>
      <c r="K10" s="8">
        <v>63.15</v>
      </c>
      <c r="L10" s="8">
        <v>61.05</v>
      </c>
      <c r="M10" s="8">
        <v>59</v>
      </c>
      <c r="N10" s="8">
        <v>67.1</v>
      </c>
      <c r="O10" s="8">
        <v>38.11</v>
      </c>
      <c r="P10" s="8">
        <v>37.75</v>
      </c>
      <c r="Q10" s="8">
        <v>35.65</v>
      </c>
      <c r="R10" s="8">
        <v>27.16</v>
      </c>
      <c r="S10" s="8">
        <v>25.06</v>
      </c>
      <c r="T10" s="8">
        <v>25</v>
      </c>
      <c r="U10" s="9">
        <v>46.77</v>
      </c>
    </row>
    <row r="11" spans="1:21" ht="12.75">
      <c r="A11" s="1">
        <f t="shared" si="0"/>
        <v>5</v>
      </c>
      <c r="B11" s="4" t="s">
        <v>132</v>
      </c>
      <c r="C11" s="8">
        <v>99.6</v>
      </c>
      <c r="D11" s="8">
        <v>90.4</v>
      </c>
      <c r="E11" s="8">
        <v>67.3</v>
      </c>
      <c r="F11" s="8">
        <v>61.41</v>
      </c>
      <c r="G11" s="8">
        <v>59.31</v>
      </c>
      <c r="H11" s="8">
        <v>50.82</v>
      </c>
      <c r="I11" s="8">
        <v>48.72</v>
      </c>
      <c r="J11" s="8">
        <v>70.7</v>
      </c>
      <c r="K11" s="8">
        <v>64.68</v>
      </c>
      <c r="L11" s="8">
        <v>62.58</v>
      </c>
      <c r="M11" s="8">
        <v>60.78</v>
      </c>
      <c r="N11" s="8">
        <v>69.2</v>
      </c>
      <c r="O11" s="8">
        <v>39.02</v>
      </c>
      <c r="P11" s="8">
        <v>38.65</v>
      </c>
      <c r="Q11" s="8">
        <v>36.55</v>
      </c>
      <c r="R11" s="8">
        <v>28.06</v>
      </c>
      <c r="S11" s="8">
        <v>25.96</v>
      </c>
      <c r="T11" s="8">
        <v>25</v>
      </c>
      <c r="U11" s="9">
        <v>46.55</v>
      </c>
    </row>
    <row r="12" spans="1:21" ht="12.75">
      <c r="A12" s="1">
        <f t="shared" si="0"/>
        <v>6</v>
      </c>
      <c r="B12" s="4" t="s">
        <v>133</v>
      </c>
      <c r="C12" s="8">
        <v>97.9</v>
      </c>
      <c r="D12" s="8">
        <v>88.9</v>
      </c>
      <c r="E12" s="8">
        <v>63.9</v>
      </c>
      <c r="F12" s="8">
        <v>58.03</v>
      </c>
      <c r="G12" s="8">
        <v>55.93</v>
      </c>
      <c r="H12" s="8">
        <v>47.44</v>
      </c>
      <c r="I12" s="8">
        <v>45.34</v>
      </c>
      <c r="J12" s="8">
        <v>67.2</v>
      </c>
      <c r="K12" s="8">
        <v>61.22</v>
      </c>
      <c r="L12" s="8">
        <v>59.12</v>
      </c>
      <c r="M12" s="8">
        <v>56.03</v>
      </c>
      <c r="N12" s="8">
        <v>64.5</v>
      </c>
      <c r="O12" s="8">
        <v>38.79</v>
      </c>
      <c r="P12" s="8">
        <v>38.42</v>
      </c>
      <c r="Q12" s="8">
        <v>36.32</v>
      </c>
      <c r="R12" s="8">
        <v>27.83</v>
      </c>
      <c r="S12" s="8">
        <v>25.73</v>
      </c>
      <c r="T12" s="8">
        <v>25</v>
      </c>
      <c r="U12" s="9">
        <v>44.86</v>
      </c>
    </row>
    <row r="13" spans="1:21" ht="12.75">
      <c r="A13" s="1">
        <f t="shared" si="0"/>
        <v>7</v>
      </c>
      <c r="B13" s="4" t="s">
        <v>134</v>
      </c>
      <c r="C13" s="8">
        <v>95.6</v>
      </c>
      <c r="D13" s="8">
        <v>86.6</v>
      </c>
      <c r="E13" s="8">
        <v>62.9</v>
      </c>
      <c r="F13" s="8">
        <v>57.02</v>
      </c>
      <c r="G13" s="8">
        <v>54.92</v>
      </c>
      <c r="H13" s="8">
        <v>46.43</v>
      </c>
      <c r="I13" s="8">
        <v>44.33</v>
      </c>
      <c r="J13" s="8">
        <v>66.2</v>
      </c>
      <c r="K13" s="8">
        <v>60.21</v>
      </c>
      <c r="L13" s="8">
        <v>58.11</v>
      </c>
      <c r="M13" s="8">
        <v>54.76</v>
      </c>
      <c r="N13" s="8">
        <v>63.2</v>
      </c>
      <c r="O13" s="8">
        <v>38.21</v>
      </c>
      <c r="P13" s="8">
        <v>37.84</v>
      </c>
      <c r="Q13" s="8">
        <v>35.74</v>
      </c>
      <c r="R13" s="8">
        <v>27.25</v>
      </c>
      <c r="S13" s="8">
        <v>25.15</v>
      </c>
      <c r="T13" s="8">
        <v>25</v>
      </c>
      <c r="U13" s="9">
        <v>45.79</v>
      </c>
    </row>
    <row r="14" spans="1:21" ht="12.75">
      <c r="A14" s="1">
        <f t="shared" si="0"/>
        <v>8</v>
      </c>
      <c r="B14" s="4" t="s">
        <v>135</v>
      </c>
      <c r="C14" s="8">
        <v>96.1</v>
      </c>
      <c r="D14" s="8">
        <v>87.2</v>
      </c>
      <c r="E14" s="8">
        <v>64.6</v>
      </c>
      <c r="F14" s="8">
        <v>58.65</v>
      </c>
      <c r="G14" s="8">
        <v>56.55</v>
      </c>
      <c r="H14" s="8">
        <v>48.06</v>
      </c>
      <c r="I14" s="8">
        <v>45.96</v>
      </c>
      <c r="J14" s="8">
        <v>67.9</v>
      </c>
      <c r="K14" s="8">
        <v>61.84</v>
      </c>
      <c r="L14" s="8">
        <v>59.74</v>
      </c>
      <c r="M14" s="8">
        <v>55.97</v>
      </c>
      <c r="N14" s="8">
        <v>64.7</v>
      </c>
      <c r="O14" s="8">
        <v>38.64</v>
      </c>
      <c r="P14" s="8">
        <v>38.27</v>
      </c>
      <c r="Q14" s="8">
        <v>36.17</v>
      </c>
      <c r="R14" s="8">
        <v>27.68</v>
      </c>
      <c r="S14" s="8">
        <v>25.58</v>
      </c>
      <c r="T14" s="8">
        <v>25</v>
      </c>
      <c r="U14" s="9">
        <v>45.71</v>
      </c>
    </row>
    <row r="15" spans="1:21" ht="12.75">
      <c r="A15" s="1">
        <f t="shared" si="0"/>
        <v>9</v>
      </c>
      <c r="B15" s="4" t="s">
        <v>136</v>
      </c>
      <c r="C15" s="8">
        <v>96.6</v>
      </c>
      <c r="D15" s="8">
        <v>87.7</v>
      </c>
      <c r="E15" s="8">
        <v>68.4</v>
      </c>
      <c r="F15" s="8">
        <v>62.45</v>
      </c>
      <c r="G15" s="8">
        <v>60.35</v>
      </c>
      <c r="H15" s="8">
        <v>51.86</v>
      </c>
      <c r="I15" s="8">
        <v>49.76</v>
      </c>
      <c r="J15" s="8">
        <v>71.7</v>
      </c>
      <c r="K15" s="8">
        <v>65.67</v>
      </c>
      <c r="L15" s="8">
        <v>63.57</v>
      </c>
      <c r="M15" s="8">
        <v>59.37</v>
      </c>
      <c r="N15" s="8">
        <v>68</v>
      </c>
      <c r="O15" s="8">
        <v>40.35</v>
      </c>
      <c r="P15" s="8">
        <v>39.99</v>
      </c>
      <c r="Q15" s="8">
        <v>37.89</v>
      </c>
      <c r="R15" s="8">
        <v>29.4</v>
      </c>
      <c r="S15" s="8">
        <v>27.3</v>
      </c>
      <c r="T15" s="8">
        <v>25</v>
      </c>
      <c r="U15" s="9">
        <v>46.36</v>
      </c>
    </row>
    <row r="16" spans="1:21" ht="12.75">
      <c r="A16" s="1">
        <f t="shared" si="0"/>
        <v>10</v>
      </c>
      <c r="B16" s="4" t="s">
        <v>137</v>
      </c>
      <c r="C16" s="8">
        <v>97.1</v>
      </c>
      <c r="D16" s="8">
        <v>88.2</v>
      </c>
      <c r="E16" s="8">
        <v>69.8</v>
      </c>
      <c r="F16" s="8">
        <v>63.86</v>
      </c>
      <c r="G16" s="8">
        <v>61.76</v>
      </c>
      <c r="H16" s="8">
        <v>53.27</v>
      </c>
      <c r="I16" s="8">
        <v>51.17</v>
      </c>
      <c r="J16" s="8">
        <v>73.1</v>
      </c>
      <c r="K16" s="8">
        <v>67.04</v>
      </c>
      <c r="L16" s="8">
        <v>64.94</v>
      </c>
      <c r="M16" s="8">
        <v>60.92</v>
      </c>
      <c r="N16" s="8">
        <v>69.6</v>
      </c>
      <c r="O16" s="8">
        <v>39.83</v>
      </c>
      <c r="P16" s="8">
        <v>39.46</v>
      </c>
      <c r="Q16" s="8">
        <v>37.36</v>
      </c>
      <c r="R16" s="8">
        <v>28.87</v>
      </c>
      <c r="S16" s="8">
        <v>26.77</v>
      </c>
      <c r="T16" s="8">
        <v>25</v>
      </c>
      <c r="U16" s="9">
        <v>46.42</v>
      </c>
    </row>
    <row r="17" spans="1:21" ht="12.75">
      <c r="A17" s="1">
        <f t="shared" si="0"/>
        <v>11</v>
      </c>
      <c r="B17" s="4" t="s">
        <v>138</v>
      </c>
      <c r="C17" s="8">
        <v>102.8</v>
      </c>
      <c r="D17" s="8">
        <v>93.8</v>
      </c>
      <c r="E17" s="8">
        <v>70.7</v>
      </c>
      <c r="F17" s="8">
        <v>64.8</v>
      </c>
      <c r="G17" s="8">
        <v>62.7</v>
      </c>
      <c r="H17" s="8">
        <v>54.21</v>
      </c>
      <c r="I17" s="8">
        <v>52.11</v>
      </c>
      <c r="J17" s="8">
        <v>74</v>
      </c>
      <c r="K17" s="8">
        <v>67.98</v>
      </c>
      <c r="L17" s="8">
        <v>65.88</v>
      </c>
      <c r="M17" s="8">
        <v>61.91</v>
      </c>
      <c r="N17" s="8">
        <v>70.6</v>
      </c>
      <c r="O17" s="8">
        <v>40.83</v>
      </c>
      <c r="P17" s="8">
        <v>40.47</v>
      </c>
      <c r="Q17" s="8">
        <v>38.37</v>
      </c>
      <c r="R17" s="8">
        <v>29.88</v>
      </c>
      <c r="S17" s="8">
        <v>27.78</v>
      </c>
      <c r="T17" s="8">
        <v>25</v>
      </c>
      <c r="U17" s="9">
        <v>47.65</v>
      </c>
    </row>
    <row r="18" spans="1:21" ht="12.75">
      <c r="A18" s="1">
        <f t="shared" si="0"/>
        <v>12</v>
      </c>
      <c r="B18" s="4" t="s">
        <v>139</v>
      </c>
      <c r="C18" s="8">
        <v>103</v>
      </c>
      <c r="D18" s="8">
        <v>94</v>
      </c>
      <c r="E18" s="8">
        <v>72</v>
      </c>
      <c r="F18" s="8">
        <v>66.12</v>
      </c>
      <c r="G18" s="8">
        <v>64.02</v>
      </c>
      <c r="H18" s="8">
        <v>55.53</v>
      </c>
      <c r="I18" s="8">
        <v>53.43</v>
      </c>
      <c r="J18" s="8">
        <v>75.3</v>
      </c>
      <c r="K18" s="8">
        <v>69.3</v>
      </c>
      <c r="L18" s="8">
        <v>67.2</v>
      </c>
      <c r="M18" s="8">
        <v>63.73</v>
      </c>
      <c r="N18" s="8">
        <v>72.4</v>
      </c>
      <c r="O18" s="8">
        <v>40.73</v>
      </c>
      <c r="P18" s="8">
        <v>40.37</v>
      </c>
      <c r="Q18" s="8">
        <v>38.27</v>
      </c>
      <c r="R18" s="8">
        <v>29.78</v>
      </c>
      <c r="S18" s="8">
        <v>27.68</v>
      </c>
      <c r="T18" s="8">
        <v>25</v>
      </c>
      <c r="U18" s="9">
        <v>49.19</v>
      </c>
    </row>
    <row r="19" spans="1:21" ht="12.75">
      <c r="A19" s="1">
        <f t="shared" si="0"/>
        <v>13</v>
      </c>
      <c r="B19" s="4" t="s">
        <v>140</v>
      </c>
      <c r="C19" s="8">
        <v>105</v>
      </c>
      <c r="D19" s="8">
        <v>95.5</v>
      </c>
      <c r="E19" s="8">
        <v>71.5</v>
      </c>
      <c r="F19" s="8">
        <v>65.57</v>
      </c>
      <c r="G19" s="8">
        <v>63.47</v>
      </c>
      <c r="H19" s="8">
        <v>54.98</v>
      </c>
      <c r="I19" s="8">
        <v>52.88</v>
      </c>
      <c r="J19" s="8">
        <v>74.8</v>
      </c>
      <c r="K19" s="8">
        <v>68.75</v>
      </c>
      <c r="L19" s="8">
        <v>66.65</v>
      </c>
      <c r="M19" s="8">
        <v>63.82</v>
      </c>
      <c r="N19" s="8">
        <v>72.6</v>
      </c>
      <c r="O19" s="8">
        <v>41.95</v>
      </c>
      <c r="P19" s="8">
        <v>41.59</v>
      </c>
      <c r="Q19" s="8">
        <v>39.49</v>
      </c>
      <c r="R19" s="8">
        <v>31</v>
      </c>
      <c r="S19" s="8">
        <v>28.9</v>
      </c>
      <c r="T19" s="8">
        <v>25</v>
      </c>
      <c r="U19" s="9">
        <v>50</v>
      </c>
    </row>
    <row r="20" spans="1:21" ht="12.75">
      <c r="A20" s="1">
        <f t="shared" si="0"/>
        <v>14</v>
      </c>
      <c r="B20" s="4" t="s">
        <v>141</v>
      </c>
      <c r="C20" s="8">
        <v>107.2</v>
      </c>
      <c r="D20" s="8">
        <v>96.7</v>
      </c>
      <c r="E20" s="8">
        <v>71.9</v>
      </c>
      <c r="F20" s="8">
        <v>65.99</v>
      </c>
      <c r="G20" s="8">
        <v>63.89</v>
      </c>
      <c r="H20" s="8">
        <v>55.4</v>
      </c>
      <c r="I20" s="8">
        <v>53.3</v>
      </c>
      <c r="J20" s="8">
        <v>75.2</v>
      </c>
      <c r="K20" s="8">
        <v>69.18</v>
      </c>
      <c r="L20" s="8">
        <v>67.08</v>
      </c>
      <c r="M20" s="8">
        <v>63.34</v>
      </c>
      <c r="N20" s="8">
        <v>72.1</v>
      </c>
      <c r="O20" s="8">
        <v>41.58</v>
      </c>
      <c r="P20" s="8">
        <v>41.22</v>
      </c>
      <c r="Q20" s="8">
        <v>39.12</v>
      </c>
      <c r="R20" s="8">
        <v>30.63</v>
      </c>
      <c r="S20" s="8">
        <v>28.53</v>
      </c>
      <c r="T20" s="8">
        <v>25</v>
      </c>
      <c r="U20" s="9">
        <v>48.67</v>
      </c>
    </row>
    <row r="21" spans="1:21" ht="12.75">
      <c r="A21" s="1">
        <f t="shared" si="0"/>
        <v>15</v>
      </c>
      <c r="B21" s="4" t="s">
        <v>142</v>
      </c>
      <c r="C21" s="8">
        <v>109.5</v>
      </c>
      <c r="D21" s="8">
        <v>99.6</v>
      </c>
      <c r="E21" s="8">
        <v>74.3</v>
      </c>
      <c r="F21" s="8">
        <v>68.44</v>
      </c>
      <c r="G21" s="8">
        <v>66.34</v>
      </c>
      <c r="H21" s="8">
        <v>57.85</v>
      </c>
      <c r="I21" s="8">
        <v>55.75</v>
      </c>
      <c r="J21" s="8">
        <v>77.7</v>
      </c>
      <c r="K21" s="8">
        <v>71.63</v>
      </c>
      <c r="L21" s="8">
        <v>69.53</v>
      </c>
      <c r="M21" s="8">
        <v>67.16</v>
      </c>
      <c r="N21" s="8">
        <v>75.9</v>
      </c>
      <c r="O21" s="8">
        <v>44.33</v>
      </c>
      <c r="P21" s="8">
        <v>43.96</v>
      </c>
      <c r="Q21" s="8">
        <v>41.86</v>
      </c>
      <c r="R21" s="8">
        <v>33.37</v>
      </c>
      <c r="S21" s="8">
        <v>31.27</v>
      </c>
      <c r="T21" s="8">
        <v>25</v>
      </c>
      <c r="U21" s="9">
        <v>49.96</v>
      </c>
    </row>
    <row r="22" spans="1:21" ht="12.75">
      <c r="A22" s="1">
        <f t="shared" si="0"/>
        <v>16</v>
      </c>
      <c r="B22" s="4" t="s">
        <v>143</v>
      </c>
      <c r="C22" s="8">
        <v>103.1</v>
      </c>
      <c r="D22" s="8">
        <v>93.4</v>
      </c>
      <c r="E22" s="8">
        <v>68.9</v>
      </c>
      <c r="F22" s="8">
        <v>62.99</v>
      </c>
      <c r="G22" s="8">
        <v>60.89</v>
      </c>
      <c r="H22" s="8">
        <v>52.4</v>
      </c>
      <c r="I22" s="8">
        <v>50.3</v>
      </c>
      <c r="J22" s="8">
        <v>72.2</v>
      </c>
      <c r="K22" s="8">
        <v>66.17</v>
      </c>
      <c r="L22" s="8">
        <v>64.07</v>
      </c>
      <c r="M22" s="8">
        <v>61.49</v>
      </c>
      <c r="N22" s="8">
        <v>70.2</v>
      </c>
      <c r="O22" s="8">
        <v>42.56</v>
      </c>
      <c r="P22" s="8">
        <v>42.2</v>
      </c>
      <c r="Q22" s="8">
        <v>40.1</v>
      </c>
      <c r="R22" s="8">
        <v>31.61</v>
      </c>
      <c r="S22" s="8">
        <v>29.51</v>
      </c>
      <c r="T22" s="8">
        <v>25</v>
      </c>
      <c r="U22" s="9">
        <v>47.32</v>
      </c>
    </row>
    <row r="23" spans="1:21" ht="12.75">
      <c r="A23" s="1">
        <f t="shared" si="0"/>
        <v>17</v>
      </c>
      <c r="B23" s="4" t="s">
        <v>144</v>
      </c>
      <c r="C23" s="8">
        <v>105.6</v>
      </c>
      <c r="D23" s="8">
        <v>94.9</v>
      </c>
      <c r="E23" s="8">
        <v>69.5</v>
      </c>
      <c r="F23" s="8">
        <v>63.56</v>
      </c>
      <c r="G23" s="8">
        <v>61.46</v>
      </c>
      <c r="H23" s="8">
        <v>52.89</v>
      </c>
      <c r="I23" s="8">
        <v>50.79</v>
      </c>
      <c r="J23" s="8">
        <v>72.8</v>
      </c>
      <c r="K23" s="8">
        <v>66.76</v>
      </c>
      <c r="L23" s="8">
        <v>64.66</v>
      </c>
      <c r="M23" s="8">
        <v>61.73</v>
      </c>
      <c r="N23" s="8">
        <v>70.5</v>
      </c>
      <c r="O23" s="8">
        <v>44.11</v>
      </c>
      <c r="P23" s="8">
        <v>43.75</v>
      </c>
      <c r="Q23" s="8">
        <v>41.65</v>
      </c>
      <c r="R23" s="8">
        <v>33.08</v>
      </c>
      <c r="S23" s="8">
        <v>30.98</v>
      </c>
      <c r="T23" s="8">
        <v>25</v>
      </c>
      <c r="U23" s="9">
        <v>47.32</v>
      </c>
    </row>
    <row r="24" spans="1:21" ht="12.75">
      <c r="A24" s="1">
        <f t="shared" si="0"/>
        <v>18</v>
      </c>
      <c r="B24" s="4" t="s">
        <v>145</v>
      </c>
      <c r="C24" s="8">
        <v>107.7</v>
      </c>
      <c r="D24" s="8">
        <v>96.9</v>
      </c>
      <c r="E24" s="8">
        <v>71</v>
      </c>
      <c r="F24" s="8">
        <v>64.57</v>
      </c>
      <c r="G24" s="8">
        <v>62.32</v>
      </c>
      <c r="H24" s="8">
        <v>53.9</v>
      </c>
      <c r="I24" s="8">
        <v>51.65</v>
      </c>
      <c r="J24" s="8">
        <v>73.9</v>
      </c>
      <c r="K24" s="8">
        <v>67.78</v>
      </c>
      <c r="L24" s="8">
        <v>65.53</v>
      </c>
      <c r="M24" s="8">
        <v>62.64</v>
      </c>
      <c r="N24" s="8">
        <v>71.8</v>
      </c>
      <c r="O24" s="8">
        <v>46.23</v>
      </c>
      <c r="P24" s="8">
        <v>45.87</v>
      </c>
      <c r="Q24" s="8">
        <v>43.62</v>
      </c>
      <c r="R24" s="8">
        <v>35.2</v>
      </c>
      <c r="S24" s="8">
        <v>32.95</v>
      </c>
      <c r="T24" s="8">
        <v>25</v>
      </c>
      <c r="U24" s="9">
        <v>47.87</v>
      </c>
    </row>
    <row r="25" spans="1:21" ht="12.75">
      <c r="A25" s="1">
        <f t="shared" si="0"/>
        <v>19</v>
      </c>
      <c r="B25" s="4" t="s">
        <v>146</v>
      </c>
      <c r="C25" s="8">
        <v>103.3</v>
      </c>
      <c r="D25" s="8">
        <v>93.3</v>
      </c>
      <c r="E25" s="8">
        <v>69.6</v>
      </c>
      <c r="F25" s="8">
        <v>63.09</v>
      </c>
      <c r="G25" s="8">
        <v>60.84</v>
      </c>
      <c r="H25" s="8">
        <v>52.42</v>
      </c>
      <c r="I25" s="8">
        <v>50.17</v>
      </c>
      <c r="J25" s="8">
        <v>72.3</v>
      </c>
      <c r="K25" s="8">
        <v>66.29</v>
      </c>
      <c r="L25" s="8">
        <v>64.04</v>
      </c>
      <c r="M25" s="8">
        <v>61.65</v>
      </c>
      <c r="N25" s="8">
        <v>70.8</v>
      </c>
      <c r="O25" s="8">
        <v>45.99</v>
      </c>
      <c r="P25" s="8">
        <v>45.62</v>
      </c>
      <c r="Q25" s="8">
        <v>43.37</v>
      </c>
      <c r="R25" s="8">
        <v>34.95</v>
      </c>
      <c r="S25" s="8">
        <v>32.7</v>
      </c>
      <c r="T25" s="8">
        <v>25</v>
      </c>
      <c r="U25" s="9">
        <v>46.09</v>
      </c>
    </row>
    <row r="26" spans="1:21" ht="12.75">
      <c r="A26" s="1">
        <f t="shared" si="0"/>
        <v>20</v>
      </c>
      <c r="B26" s="4" t="s">
        <v>147</v>
      </c>
      <c r="C26" s="8">
        <v>105.1</v>
      </c>
      <c r="D26" s="8">
        <v>94.4</v>
      </c>
      <c r="E26" s="8">
        <v>68.9</v>
      </c>
      <c r="F26" s="8">
        <v>62.4</v>
      </c>
      <c r="G26" s="8">
        <v>60.15</v>
      </c>
      <c r="H26" s="8">
        <v>51.73</v>
      </c>
      <c r="I26" s="8">
        <v>49.48</v>
      </c>
      <c r="J26" s="8">
        <v>71.6</v>
      </c>
      <c r="K26" s="8">
        <v>65.6</v>
      </c>
      <c r="L26" s="8">
        <v>63.35</v>
      </c>
      <c r="M26" s="8">
        <v>61.15</v>
      </c>
      <c r="N26" s="8">
        <v>70.3</v>
      </c>
      <c r="O26" s="8">
        <v>48.11</v>
      </c>
      <c r="P26" s="8">
        <v>47.75</v>
      </c>
      <c r="Q26" s="8">
        <v>45.5</v>
      </c>
      <c r="R26" s="8">
        <v>37.08</v>
      </c>
      <c r="S26" s="8">
        <v>34.83</v>
      </c>
      <c r="T26" s="8">
        <v>25</v>
      </c>
      <c r="U26" s="9">
        <v>46.37</v>
      </c>
    </row>
    <row r="27" spans="1:21" ht="12.75">
      <c r="A27" s="1">
        <f t="shared" si="0"/>
        <v>21</v>
      </c>
      <c r="B27" s="4" t="s">
        <v>148</v>
      </c>
      <c r="C27" s="8">
        <v>102.6</v>
      </c>
      <c r="D27" s="8">
        <v>92.3</v>
      </c>
      <c r="E27" s="8">
        <v>67.2</v>
      </c>
      <c r="F27" s="8">
        <v>60.76</v>
      </c>
      <c r="G27" s="8">
        <v>58.51</v>
      </c>
      <c r="H27" s="8">
        <v>50.09</v>
      </c>
      <c r="I27" s="8">
        <v>47.84</v>
      </c>
      <c r="J27" s="8">
        <v>70</v>
      </c>
      <c r="K27" s="8">
        <v>63.96</v>
      </c>
      <c r="L27" s="8">
        <v>61.71</v>
      </c>
      <c r="M27" s="8">
        <v>58.99</v>
      </c>
      <c r="N27" s="8">
        <v>68.1</v>
      </c>
      <c r="O27" s="8">
        <v>45.83</v>
      </c>
      <c r="P27" s="8">
        <v>45.46</v>
      </c>
      <c r="Q27" s="8">
        <v>43.21</v>
      </c>
      <c r="R27" s="8">
        <v>34.79</v>
      </c>
      <c r="S27" s="8">
        <v>32.54</v>
      </c>
      <c r="T27" s="8">
        <v>25</v>
      </c>
      <c r="U27" s="9">
        <v>45.77</v>
      </c>
    </row>
    <row r="28" spans="1:21" ht="12.75">
      <c r="A28" s="1">
        <f t="shared" si="0"/>
        <v>22</v>
      </c>
      <c r="B28" s="4" t="s">
        <v>149</v>
      </c>
      <c r="C28" s="8">
        <v>102.2</v>
      </c>
      <c r="D28" s="8">
        <v>92.1</v>
      </c>
      <c r="E28" s="8">
        <v>68.5</v>
      </c>
      <c r="F28" s="8">
        <v>62.01</v>
      </c>
      <c r="G28" s="8">
        <v>59.76</v>
      </c>
      <c r="H28" s="8">
        <v>51.34</v>
      </c>
      <c r="I28" s="8">
        <v>49.09</v>
      </c>
      <c r="J28" s="8">
        <v>71.2</v>
      </c>
      <c r="K28" s="8">
        <v>65.22</v>
      </c>
      <c r="L28" s="8">
        <v>62.97</v>
      </c>
      <c r="M28" s="8">
        <v>59.8</v>
      </c>
      <c r="N28" s="8">
        <v>68.9</v>
      </c>
      <c r="O28" s="8">
        <v>46.14</v>
      </c>
      <c r="P28" s="8">
        <v>45.77</v>
      </c>
      <c r="Q28" s="8">
        <v>43.52</v>
      </c>
      <c r="R28" s="8">
        <v>35.1</v>
      </c>
      <c r="S28" s="8">
        <v>32.85</v>
      </c>
      <c r="T28" s="8">
        <v>25</v>
      </c>
      <c r="U28" s="9">
        <v>45.76</v>
      </c>
    </row>
    <row r="29" spans="1:21" ht="12.75">
      <c r="A29" s="1">
        <f t="shared" si="0"/>
        <v>23</v>
      </c>
      <c r="B29" s="4" t="s">
        <v>150</v>
      </c>
      <c r="C29" s="8">
        <v>105</v>
      </c>
      <c r="D29" s="8">
        <v>94.7</v>
      </c>
      <c r="E29" s="8">
        <v>71.3</v>
      </c>
      <c r="F29" s="8">
        <v>64.81</v>
      </c>
      <c r="G29" s="8">
        <v>62.56</v>
      </c>
      <c r="H29" s="8">
        <v>54.14</v>
      </c>
      <c r="I29" s="8">
        <v>51.89</v>
      </c>
      <c r="J29" s="8">
        <v>74</v>
      </c>
      <c r="K29" s="8">
        <v>68.02</v>
      </c>
      <c r="L29" s="8">
        <v>65.77</v>
      </c>
      <c r="M29" s="8">
        <v>63.43</v>
      </c>
      <c r="N29" s="8">
        <v>72.3</v>
      </c>
      <c r="O29" s="8">
        <v>45.49</v>
      </c>
      <c r="P29" s="8">
        <v>45.12</v>
      </c>
      <c r="Q29" s="8">
        <v>42.87</v>
      </c>
      <c r="R29" s="8">
        <v>34.45</v>
      </c>
      <c r="S29" s="8">
        <v>32.2</v>
      </c>
      <c r="T29" s="8">
        <v>25</v>
      </c>
      <c r="U29" s="9">
        <v>46.3</v>
      </c>
    </row>
    <row r="30" spans="1:21" ht="12.75">
      <c r="A30" s="1">
        <f t="shared" si="0"/>
        <v>24</v>
      </c>
      <c r="B30" s="4" t="s">
        <v>151</v>
      </c>
      <c r="C30" s="8">
        <v>105.4</v>
      </c>
      <c r="D30" s="8">
        <v>95.5</v>
      </c>
      <c r="E30" s="8">
        <v>74.6</v>
      </c>
      <c r="F30" s="8">
        <v>67.91</v>
      </c>
      <c r="G30" s="8">
        <v>65.66</v>
      </c>
      <c r="H30" s="8">
        <v>57.24</v>
      </c>
      <c r="I30" s="8">
        <v>54.99</v>
      </c>
      <c r="J30" s="8">
        <v>77.1</v>
      </c>
      <c r="K30" s="8">
        <v>71.12</v>
      </c>
      <c r="L30" s="8">
        <v>68.87</v>
      </c>
      <c r="M30" s="8">
        <v>66.14</v>
      </c>
      <c r="N30" s="8">
        <v>75</v>
      </c>
      <c r="O30" s="8">
        <v>46.18</v>
      </c>
      <c r="P30" s="8">
        <v>45.62</v>
      </c>
      <c r="Q30" s="8">
        <v>43.37</v>
      </c>
      <c r="R30" s="8">
        <v>34.95</v>
      </c>
      <c r="S30" s="8">
        <v>32.7</v>
      </c>
      <c r="T30" s="8">
        <v>25</v>
      </c>
      <c r="U30" s="9">
        <v>46.35</v>
      </c>
    </row>
    <row r="31" spans="1:21" ht="12.75">
      <c r="A31" s="1">
        <f t="shared" si="0"/>
        <v>25</v>
      </c>
      <c r="B31" s="4" t="s">
        <v>152</v>
      </c>
      <c r="C31" s="8">
        <v>106</v>
      </c>
      <c r="D31" s="8">
        <v>96.3</v>
      </c>
      <c r="E31" s="8">
        <v>76.5</v>
      </c>
      <c r="F31" s="8">
        <v>69.84</v>
      </c>
      <c r="G31" s="8">
        <v>67.59</v>
      </c>
      <c r="H31" s="8">
        <v>59.17</v>
      </c>
      <c r="I31" s="8">
        <v>56.92</v>
      </c>
      <c r="J31" s="8">
        <v>79</v>
      </c>
      <c r="K31" s="8">
        <v>73.05</v>
      </c>
      <c r="L31" s="8">
        <v>70.8</v>
      </c>
      <c r="M31" s="8">
        <v>67.69</v>
      </c>
      <c r="N31" s="8">
        <v>76.6</v>
      </c>
      <c r="O31" s="8">
        <v>47.08</v>
      </c>
      <c r="P31" s="8">
        <v>46.52</v>
      </c>
      <c r="Q31" s="8">
        <v>44.27</v>
      </c>
      <c r="R31" s="8">
        <v>35.85</v>
      </c>
      <c r="S31" s="8">
        <v>33.6</v>
      </c>
      <c r="T31" s="8">
        <v>24.96</v>
      </c>
      <c r="U31" s="9">
        <v>46.31</v>
      </c>
    </row>
    <row r="32" spans="1:21" ht="12.75">
      <c r="A32" s="1">
        <f t="shared" si="0"/>
        <v>26</v>
      </c>
      <c r="B32" s="4" t="s">
        <v>153</v>
      </c>
      <c r="C32" s="8">
        <v>108.4</v>
      </c>
      <c r="D32" s="8">
        <v>98.6</v>
      </c>
      <c r="E32" s="8">
        <v>76.3</v>
      </c>
      <c r="F32" s="8">
        <v>69.63</v>
      </c>
      <c r="G32" s="8">
        <v>67.38</v>
      </c>
      <c r="H32" s="8">
        <v>58.96</v>
      </c>
      <c r="I32" s="8">
        <v>56.71</v>
      </c>
      <c r="J32" s="8">
        <v>78.9</v>
      </c>
      <c r="K32" s="8">
        <v>72.84</v>
      </c>
      <c r="L32" s="8">
        <v>70.59</v>
      </c>
      <c r="M32" s="8">
        <v>67.33</v>
      </c>
      <c r="N32" s="8">
        <v>76.2</v>
      </c>
      <c r="O32" s="8">
        <v>47.88</v>
      </c>
      <c r="P32" s="8">
        <v>47.32</v>
      </c>
      <c r="Q32" s="8">
        <v>45.07</v>
      </c>
      <c r="R32" s="8">
        <v>36.65</v>
      </c>
      <c r="S32" s="8">
        <v>34.4</v>
      </c>
      <c r="T32" s="8">
        <v>26.51</v>
      </c>
      <c r="U32" s="9">
        <v>47.86</v>
      </c>
    </row>
    <row r="33" spans="1:21" ht="12.75">
      <c r="A33" s="1">
        <f t="shared" si="0"/>
        <v>27</v>
      </c>
      <c r="B33" s="4" t="s">
        <v>154</v>
      </c>
      <c r="C33" s="8">
        <v>108.1</v>
      </c>
      <c r="D33" s="8">
        <v>97.6</v>
      </c>
      <c r="E33" s="8">
        <v>76.2</v>
      </c>
      <c r="F33" s="8">
        <v>69.54</v>
      </c>
      <c r="G33" s="8">
        <v>67.29</v>
      </c>
      <c r="H33" s="8">
        <v>58.87</v>
      </c>
      <c r="I33" s="8">
        <v>56.62</v>
      </c>
      <c r="J33" s="8">
        <v>78.8</v>
      </c>
      <c r="K33" s="8">
        <v>72.74</v>
      </c>
      <c r="L33" s="8">
        <v>70.49</v>
      </c>
      <c r="M33" s="8">
        <v>66.52</v>
      </c>
      <c r="N33" s="8">
        <v>75.6</v>
      </c>
      <c r="O33" s="8">
        <v>46.48</v>
      </c>
      <c r="P33" s="8">
        <v>45.92</v>
      </c>
      <c r="Q33" s="8">
        <v>43.67</v>
      </c>
      <c r="R33" s="8">
        <v>35.25</v>
      </c>
      <c r="S33" s="8">
        <v>33</v>
      </c>
      <c r="T33" s="8">
        <v>26.73</v>
      </c>
      <c r="U33" s="9">
        <v>48.08</v>
      </c>
    </row>
    <row r="34" spans="1:21" ht="12.75">
      <c r="A34" s="1">
        <f t="shared" si="0"/>
        <v>28</v>
      </c>
      <c r="B34" s="4" t="s">
        <v>155</v>
      </c>
      <c r="C34" s="8">
        <v>111</v>
      </c>
      <c r="D34" s="8">
        <v>100.1</v>
      </c>
      <c r="E34" s="8">
        <v>79.4</v>
      </c>
      <c r="F34" s="8">
        <v>72.75</v>
      </c>
      <c r="G34" s="8">
        <v>70.5</v>
      </c>
      <c r="H34" s="8">
        <v>62.08</v>
      </c>
      <c r="I34" s="8">
        <v>59.83</v>
      </c>
      <c r="J34" s="8">
        <v>82</v>
      </c>
      <c r="K34" s="8">
        <v>75.95</v>
      </c>
      <c r="L34" s="8">
        <v>73.7</v>
      </c>
      <c r="M34" s="8">
        <v>69.59</v>
      </c>
      <c r="N34" s="8">
        <v>78.6</v>
      </c>
      <c r="O34" s="8">
        <v>47.5</v>
      </c>
      <c r="P34" s="8">
        <v>46.93</v>
      </c>
      <c r="Q34" s="8">
        <v>44.68</v>
      </c>
      <c r="R34" s="8">
        <v>36.26</v>
      </c>
      <c r="S34" s="8">
        <v>34.01</v>
      </c>
      <c r="T34" s="8">
        <v>27.07</v>
      </c>
      <c r="U34" s="9">
        <v>48.42</v>
      </c>
    </row>
    <row r="35" spans="1:21" ht="12.75">
      <c r="A35" s="1">
        <f t="shared" si="0"/>
        <v>29</v>
      </c>
      <c r="B35" s="4" t="s">
        <v>156</v>
      </c>
      <c r="C35" s="8">
        <v>112.1</v>
      </c>
      <c r="D35" s="8">
        <v>100.8</v>
      </c>
      <c r="E35" s="8">
        <v>78.2</v>
      </c>
      <c r="F35" s="8">
        <v>71.53</v>
      </c>
      <c r="G35" s="8">
        <v>69.28</v>
      </c>
      <c r="H35" s="8">
        <v>60.86</v>
      </c>
      <c r="I35" s="8">
        <v>58.61</v>
      </c>
      <c r="J35" s="8">
        <v>80.8</v>
      </c>
      <c r="K35" s="8">
        <v>74.74</v>
      </c>
      <c r="L35" s="8">
        <v>72.49</v>
      </c>
      <c r="M35" s="8">
        <v>67.94</v>
      </c>
      <c r="N35" s="8">
        <v>77</v>
      </c>
      <c r="O35" s="8">
        <v>48.04</v>
      </c>
      <c r="P35" s="8">
        <v>47.48</v>
      </c>
      <c r="Q35" s="8">
        <v>45.23</v>
      </c>
      <c r="R35" s="8">
        <v>36.81</v>
      </c>
      <c r="S35" s="8">
        <v>34.56</v>
      </c>
      <c r="T35" s="8">
        <v>26.57</v>
      </c>
      <c r="U35" s="9">
        <v>47.92</v>
      </c>
    </row>
    <row r="36" spans="1:21" ht="12.75">
      <c r="A36" s="1">
        <f t="shared" si="0"/>
        <v>30</v>
      </c>
      <c r="B36" s="4" t="s">
        <v>157</v>
      </c>
      <c r="C36" s="8">
        <v>109.9</v>
      </c>
      <c r="D36" s="8">
        <v>97.8</v>
      </c>
      <c r="E36" s="8">
        <v>75.1</v>
      </c>
      <c r="F36" s="8">
        <v>68.44</v>
      </c>
      <c r="G36" s="8">
        <v>66.19</v>
      </c>
      <c r="H36" s="8">
        <v>57.76</v>
      </c>
      <c r="I36" s="8">
        <v>55.51</v>
      </c>
      <c r="J36" s="8">
        <v>77.7</v>
      </c>
      <c r="K36" s="8">
        <v>71.64</v>
      </c>
      <c r="L36" s="8">
        <v>69.39</v>
      </c>
      <c r="M36" s="8">
        <v>65.05</v>
      </c>
      <c r="N36" s="8">
        <v>74.1</v>
      </c>
      <c r="O36" s="8">
        <v>46.13</v>
      </c>
      <c r="P36" s="8">
        <v>45.56</v>
      </c>
      <c r="Q36" s="8">
        <v>43.31</v>
      </c>
      <c r="R36" s="8">
        <v>34.88</v>
      </c>
      <c r="S36" s="8">
        <v>32.63</v>
      </c>
      <c r="T36" s="8">
        <v>25.95</v>
      </c>
      <c r="U36" s="9">
        <v>47.3</v>
      </c>
    </row>
    <row r="37" spans="1:21" ht="12.75">
      <c r="A37" s="1">
        <f t="shared" si="0"/>
        <v>31</v>
      </c>
      <c r="B37" s="4" t="s">
        <v>158</v>
      </c>
      <c r="C37" s="8">
        <v>110.3</v>
      </c>
      <c r="D37" s="8">
        <v>98.2</v>
      </c>
      <c r="E37" s="8">
        <v>75.4</v>
      </c>
      <c r="F37" s="8">
        <v>68.67</v>
      </c>
      <c r="G37" s="8">
        <v>66.42</v>
      </c>
      <c r="H37" s="8">
        <v>57.99</v>
      </c>
      <c r="I37" s="8">
        <v>55.74</v>
      </c>
      <c r="J37" s="8">
        <v>77.9</v>
      </c>
      <c r="K37" s="8">
        <v>71.88</v>
      </c>
      <c r="L37" s="8">
        <v>69.63</v>
      </c>
      <c r="M37" s="8">
        <v>66.34</v>
      </c>
      <c r="N37" s="8">
        <v>75.3</v>
      </c>
      <c r="O37" s="8">
        <v>46.43</v>
      </c>
      <c r="P37" s="8">
        <v>45.86</v>
      </c>
      <c r="Q37" s="8">
        <v>43.61</v>
      </c>
      <c r="R37" s="8">
        <v>35.18</v>
      </c>
      <c r="S37" s="8">
        <v>32.93</v>
      </c>
      <c r="T37" s="8">
        <v>26.57</v>
      </c>
      <c r="U37" s="9">
        <v>47.92</v>
      </c>
    </row>
    <row r="38" spans="1:21" ht="12.75">
      <c r="A38" s="1">
        <f t="shared" si="0"/>
        <v>32</v>
      </c>
      <c r="B38" s="4" t="s">
        <v>159</v>
      </c>
      <c r="C38" s="8">
        <v>113.9</v>
      </c>
      <c r="D38" s="8">
        <v>102.4</v>
      </c>
      <c r="E38" s="8">
        <v>77.8</v>
      </c>
      <c r="F38" s="8">
        <v>71.15</v>
      </c>
      <c r="G38" s="8">
        <v>68.9</v>
      </c>
      <c r="H38" s="8">
        <v>60.47</v>
      </c>
      <c r="I38" s="8">
        <v>58.22</v>
      </c>
      <c r="J38" s="8">
        <v>80.4</v>
      </c>
      <c r="K38" s="8">
        <v>74.36</v>
      </c>
      <c r="L38" s="8">
        <v>72.11</v>
      </c>
      <c r="M38" s="8">
        <v>68.27</v>
      </c>
      <c r="N38" s="8">
        <v>77.2</v>
      </c>
      <c r="O38" s="8">
        <v>46.81</v>
      </c>
      <c r="P38" s="8">
        <v>46.25</v>
      </c>
      <c r="Q38" s="8">
        <v>44</v>
      </c>
      <c r="R38" s="8">
        <v>35.57</v>
      </c>
      <c r="S38" s="8">
        <v>33.32</v>
      </c>
      <c r="T38" s="8">
        <v>28.06</v>
      </c>
      <c r="U38" s="9">
        <v>49.41</v>
      </c>
    </row>
    <row r="39" spans="1:21" ht="12.75">
      <c r="A39" s="1">
        <f t="shared" si="0"/>
        <v>33</v>
      </c>
      <c r="B39" s="4" t="s">
        <v>160</v>
      </c>
      <c r="C39" s="8">
        <v>116.9</v>
      </c>
      <c r="D39" s="8">
        <v>106.5</v>
      </c>
      <c r="E39" s="8">
        <v>81.3</v>
      </c>
      <c r="F39" s="8">
        <v>74.66</v>
      </c>
      <c r="G39" s="8">
        <v>72.41</v>
      </c>
      <c r="H39" s="8">
        <v>63.98</v>
      </c>
      <c r="I39" s="8">
        <v>61.73</v>
      </c>
      <c r="J39" s="8">
        <v>83.9</v>
      </c>
      <c r="K39" s="8">
        <v>77.86</v>
      </c>
      <c r="L39" s="8">
        <v>75.61</v>
      </c>
      <c r="M39" s="8">
        <v>72.07</v>
      </c>
      <c r="N39" s="8">
        <v>81</v>
      </c>
      <c r="O39" s="8">
        <v>48.46</v>
      </c>
      <c r="P39" s="8">
        <v>47.9</v>
      </c>
      <c r="Q39" s="8">
        <v>45.65</v>
      </c>
      <c r="R39" s="8">
        <v>37.22</v>
      </c>
      <c r="S39" s="8">
        <v>34.97</v>
      </c>
      <c r="T39" s="8">
        <v>28.56</v>
      </c>
      <c r="U39" s="9">
        <v>49.91</v>
      </c>
    </row>
    <row r="40" spans="1:21" ht="12.75">
      <c r="A40" s="1">
        <f t="shared" si="0"/>
        <v>34</v>
      </c>
      <c r="B40" s="4" t="s">
        <v>161</v>
      </c>
      <c r="C40" s="8">
        <v>121.2</v>
      </c>
      <c r="D40" s="8">
        <v>112.2</v>
      </c>
      <c r="E40" s="8">
        <v>82.6</v>
      </c>
      <c r="F40" s="8">
        <v>75.95</v>
      </c>
      <c r="G40" s="8">
        <v>73.7</v>
      </c>
      <c r="H40" s="8">
        <v>65.27</v>
      </c>
      <c r="I40" s="8">
        <v>63.02</v>
      </c>
      <c r="J40" s="8">
        <v>85.2</v>
      </c>
      <c r="K40" s="8">
        <v>79.16</v>
      </c>
      <c r="L40" s="8">
        <v>76.91</v>
      </c>
      <c r="M40" s="8">
        <v>73.9</v>
      </c>
      <c r="N40" s="8">
        <v>82.9</v>
      </c>
      <c r="O40" s="8">
        <v>48.43</v>
      </c>
      <c r="P40" s="8">
        <v>47.87</v>
      </c>
      <c r="Q40" s="8">
        <v>45.62</v>
      </c>
      <c r="R40" s="8">
        <v>37.19</v>
      </c>
      <c r="S40" s="8">
        <v>34.94</v>
      </c>
      <c r="T40" s="8">
        <v>29.69</v>
      </c>
      <c r="U40" s="9">
        <v>51.04</v>
      </c>
    </row>
    <row r="41" spans="1:21" ht="12.75">
      <c r="A41" s="1">
        <f t="shared" si="0"/>
        <v>35</v>
      </c>
      <c r="B41" s="4" t="s">
        <v>162</v>
      </c>
      <c r="C41" s="8">
        <v>115.4</v>
      </c>
      <c r="D41" s="8">
        <v>106.3</v>
      </c>
      <c r="E41" s="8">
        <v>82.3</v>
      </c>
      <c r="F41" s="8">
        <v>75.81</v>
      </c>
      <c r="G41" s="8">
        <v>73.56</v>
      </c>
      <c r="H41" s="8">
        <v>65.13</v>
      </c>
      <c r="I41" s="8">
        <v>62.88</v>
      </c>
      <c r="J41" s="8">
        <v>85</v>
      </c>
      <c r="K41" s="8">
        <v>79.01</v>
      </c>
      <c r="L41" s="8">
        <v>76.78</v>
      </c>
      <c r="M41" s="8">
        <v>74.21</v>
      </c>
      <c r="N41" s="8">
        <v>83.2</v>
      </c>
      <c r="O41" s="8">
        <v>48.3</v>
      </c>
      <c r="P41" s="8">
        <v>47.94</v>
      </c>
      <c r="Q41" s="8">
        <v>45.89</v>
      </c>
      <c r="R41" s="8">
        <v>37.26</v>
      </c>
      <c r="S41" s="8">
        <v>35.01</v>
      </c>
      <c r="T41" s="8">
        <v>30.17</v>
      </c>
      <c r="U41" s="9">
        <v>51.49</v>
      </c>
    </row>
    <row r="42" spans="1:21" ht="12.75">
      <c r="A42" s="1">
        <f t="shared" si="0"/>
        <v>36</v>
      </c>
      <c r="B42" s="4" t="s">
        <v>163</v>
      </c>
      <c r="C42" s="8">
        <v>125</v>
      </c>
      <c r="D42" s="8">
        <v>115.4</v>
      </c>
      <c r="E42" s="8">
        <v>87.2</v>
      </c>
      <c r="F42" s="8">
        <v>80.71</v>
      </c>
      <c r="G42" s="8">
        <v>78.46</v>
      </c>
      <c r="H42" s="8">
        <v>70.03</v>
      </c>
      <c r="I42" s="8">
        <v>67.78</v>
      </c>
      <c r="J42" s="8">
        <v>89.9</v>
      </c>
      <c r="K42" s="8">
        <v>83.92</v>
      </c>
      <c r="L42" s="8">
        <v>81.67</v>
      </c>
      <c r="M42" s="8">
        <v>86.06</v>
      </c>
      <c r="N42" s="8">
        <v>95</v>
      </c>
      <c r="O42" s="8">
        <v>50.27</v>
      </c>
      <c r="P42" s="8">
        <v>49.9</v>
      </c>
      <c r="Q42" s="8">
        <v>47.65</v>
      </c>
      <c r="R42" s="8">
        <v>39.22</v>
      </c>
      <c r="S42" s="8">
        <v>36.97</v>
      </c>
      <c r="T42" s="8">
        <v>33.75</v>
      </c>
      <c r="U42" s="9">
        <v>55.1</v>
      </c>
    </row>
    <row r="43" spans="1:21" ht="12.75">
      <c r="A43" s="1">
        <f t="shared" si="0"/>
        <v>37</v>
      </c>
      <c r="B43" s="4" t="s">
        <v>164</v>
      </c>
      <c r="C43" s="8">
        <v>138.8</v>
      </c>
      <c r="D43" s="8">
        <v>127.6</v>
      </c>
      <c r="E43" s="8">
        <v>92.3</v>
      </c>
      <c r="F43" s="8">
        <v>85.86</v>
      </c>
      <c r="G43" s="8">
        <v>83.61</v>
      </c>
      <c r="H43" s="8">
        <v>75.18</v>
      </c>
      <c r="I43" s="8">
        <v>72.93</v>
      </c>
      <c r="J43" s="8">
        <v>95.1</v>
      </c>
      <c r="K43" s="8">
        <v>89.08</v>
      </c>
      <c r="L43" s="8">
        <v>86.83</v>
      </c>
      <c r="M43" s="8">
        <v>87.43</v>
      </c>
      <c r="N43" s="8">
        <v>96.2</v>
      </c>
      <c r="O43" s="8">
        <v>52.63</v>
      </c>
      <c r="P43" s="8">
        <v>52.27</v>
      </c>
      <c r="Q43" s="8">
        <v>50.02</v>
      </c>
      <c r="R43" s="8">
        <v>41.59</v>
      </c>
      <c r="S43" s="8">
        <v>39.34</v>
      </c>
      <c r="T43" s="8">
        <v>37.19</v>
      </c>
      <c r="U43" s="9">
        <v>58.54</v>
      </c>
    </row>
    <row r="44" spans="1:21" ht="12.75">
      <c r="A44" s="1">
        <f t="shared" si="0"/>
        <v>38</v>
      </c>
      <c r="B44" s="4" t="s">
        <v>165</v>
      </c>
      <c r="C44" s="8">
        <v>126.1</v>
      </c>
      <c r="D44" s="8">
        <v>114.9</v>
      </c>
      <c r="E44" s="8">
        <v>87.3</v>
      </c>
      <c r="F44" s="8">
        <v>80.85</v>
      </c>
      <c r="G44" s="8">
        <v>78.6</v>
      </c>
      <c r="H44" s="8">
        <v>70.17</v>
      </c>
      <c r="I44" s="8">
        <v>67.92</v>
      </c>
      <c r="J44" s="8">
        <v>90.1</v>
      </c>
      <c r="K44" s="8">
        <v>84.07</v>
      </c>
      <c r="L44" s="8">
        <v>81.82</v>
      </c>
      <c r="M44" s="8">
        <v>80.07</v>
      </c>
      <c r="N44" s="8">
        <v>88.8</v>
      </c>
      <c r="O44" s="8">
        <v>51.86</v>
      </c>
      <c r="P44" s="8">
        <v>51.5</v>
      </c>
      <c r="Q44" s="8">
        <v>49.25</v>
      </c>
      <c r="R44" s="8">
        <v>40.82</v>
      </c>
      <c r="S44" s="8">
        <v>38.57</v>
      </c>
      <c r="T44" s="8">
        <v>37.38</v>
      </c>
      <c r="U44" s="9">
        <v>58.73</v>
      </c>
    </row>
    <row r="45" spans="1:21" ht="12.75">
      <c r="A45" s="1">
        <f t="shared" si="0"/>
        <v>39</v>
      </c>
      <c r="B45" s="4" t="s">
        <v>166</v>
      </c>
      <c r="C45" s="8">
        <v>138.8</v>
      </c>
      <c r="D45" s="8">
        <v>124.9</v>
      </c>
      <c r="E45" s="8">
        <v>93.8</v>
      </c>
      <c r="F45" s="8">
        <v>87.33</v>
      </c>
      <c r="G45" s="8">
        <v>85.08</v>
      </c>
      <c r="H45" s="8">
        <v>76.65</v>
      </c>
      <c r="I45" s="8">
        <v>74.4</v>
      </c>
      <c r="J45" s="8">
        <v>96.6</v>
      </c>
      <c r="K45" s="8">
        <v>90.55</v>
      </c>
      <c r="L45" s="8">
        <v>88.3</v>
      </c>
      <c r="M45" s="8">
        <v>89.36</v>
      </c>
      <c r="N45" s="8">
        <v>98.1</v>
      </c>
      <c r="O45" s="8">
        <v>55.03</v>
      </c>
      <c r="P45" s="8">
        <v>54.66</v>
      </c>
      <c r="Q45" s="8">
        <v>52.41</v>
      </c>
      <c r="R45" s="8">
        <v>43.98</v>
      </c>
      <c r="S45" s="8">
        <v>41.73</v>
      </c>
      <c r="T45" s="8">
        <v>40.58</v>
      </c>
      <c r="U45" s="9">
        <v>61.93</v>
      </c>
    </row>
    <row r="46" spans="1:21" ht="12.75">
      <c r="A46" s="1">
        <f t="shared" si="0"/>
        <v>40</v>
      </c>
      <c r="B46" s="4" t="s">
        <v>167</v>
      </c>
      <c r="C46" s="8">
        <v>141.8</v>
      </c>
      <c r="D46" s="8">
        <v>127.9</v>
      </c>
      <c r="E46" s="8">
        <v>95.8</v>
      </c>
      <c r="F46" s="8">
        <v>89.33</v>
      </c>
      <c r="G46" s="8">
        <v>87.08</v>
      </c>
      <c r="H46" s="8">
        <v>78.65</v>
      </c>
      <c r="I46" s="8">
        <v>76.4</v>
      </c>
      <c r="J46" s="8">
        <v>98.6</v>
      </c>
      <c r="K46" s="8">
        <v>92.55</v>
      </c>
      <c r="L46" s="8">
        <v>90.3</v>
      </c>
      <c r="M46" s="8">
        <v>108.05</v>
      </c>
      <c r="N46" s="8">
        <v>117.5</v>
      </c>
      <c r="O46" s="8">
        <v>56.03</v>
      </c>
      <c r="P46" s="8">
        <v>55.66</v>
      </c>
      <c r="Q46" s="8">
        <v>53.41</v>
      </c>
      <c r="R46" s="8">
        <v>44.98</v>
      </c>
      <c r="S46" s="8">
        <v>42.73</v>
      </c>
      <c r="T46" s="8">
        <v>40.94</v>
      </c>
      <c r="U46" s="9">
        <v>62.29</v>
      </c>
    </row>
    <row r="47" spans="1:21" ht="12.75">
      <c r="A47" s="1">
        <f t="shared" si="0"/>
        <v>41</v>
      </c>
      <c r="B47" s="4" t="s">
        <v>168</v>
      </c>
      <c r="C47" s="8">
        <v>139.8</v>
      </c>
      <c r="D47" s="8">
        <v>125.9</v>
      </c>
      <c r="E47" s="8">
        <v>94.3</v>
      </c>
      <c r="F47" s="8">
        <v>87.33</v>
      </c>
      <c r="G47" s="8">
        <v>85.08</v>
      </c>
      <c r="H47" s="8">
        <v>76.65</v>
      </c>
      <c r="I47" s="8">
        <v>74.4</v>
      </c>
      <c r="J47" s="8">
        <v>97.1</v>
      </c>
      <c r="K47" s="8">
        <v>90.55</v>
      </c>
      <c r="L47" s="8">
        <v>88.3</v>
      </c>
      <c r="M47" s="8">
        <v>112.5</v>
      </c>
      <c r="N47" s="8">
        <v>121.5</v>
      </c>
      <c r="O47" s="8">
        <v>55.24</v>
      </c>
      <c r="P47" s="8">
        <v>54.87</v>
      </c>
      <c r="Q47" s="8">
        <v>52.62</v>
      </c>
      <c r="R47" s="8">
        <v>44.19</v>
      </c>
      <c r="S47" s="8">
        <v>41.94</v>
      </c>
      <c r="T47" s="8">
        <v>40.73</v>
      </c>
      <c r="U47" s="9">
        <v>62.08</v>
      </c>
    </row>
    <row r="48" spans="1:21" ht="12.75">
      <c r="A48" s="1">
        <f t="shared" si="0"/>
        <v>42</v>
      </c>
      <c r="B48" s="4" t="s">
        <v>169</v>
      </c>
      <c r="C48" s="8">
        <v>136.8</v>
      </c>
      <c r="D48" s="8">
        <v>122.8</v>
      </c>
      <c r="E48" s="8">
        <v>98.3</v>
      </c>
      <c r="F48" s="8">
        <v>90.82</v>
      </c>
      <c r="G48" s="8">
        <v>88.57</v>
      </c>
      <c r="H48" s="8">
        <v>80.14</v>
      </c>
      <c r="I48" s="8">
        <v>77.89</v>
      </c>
      <c r="J48" s="8">
        <v>100.5</v>
      </c>
      <c r="K48" s="8">
        <v>92.04</v>
      </c>
      <c r="L48" s="8">
        <v>89.79</v>
      </c>
      <c r="M48" s="8">
        <v>115.25</v>
      </c>
      <c r="N48" s="8">
        <v>126.5</v>
      </c>
      <c r="O48" s="8">
        <v>56.15</v>
      </c>
      <c r="P48" s="8">
        <v>55.78</v>
      </c>
      <c r="Q48" s="8">
        <v>53.53</v>
      </c>
      <c r="R48" s="8">
        <v>45.1</v>
      </c>
      <c r="S48" s="8">
        <v>42.85</v>
      </c>
      <c r="T48" s="8">
        <v>42.36</v>
      </c>
      <c r="U48" s="9">
        <v>63.71</v>
      </c>
    </row>
    <row r="49" spans="1:21" ht="12.75">
      <c r="A49" s="1">
        <f t="shared" si="0"/>
        <v>43</v>
      </c>
      <c r="B49" s="4" t="s">
        <v>170</v>
      </c>
      <c r="C49" s="8">
        <v>132.3</v>
      </c>
      <c r="D49" s="8">
        <v>118.8</v>
      </c>
      <c r="E49" s="8">
        <v>102.3</v>
      </c>
      <c r="F49" s="8">
        <v>94.37</v>
      </c>
      <c r="G49" s="8">
        <v>92.12</v>
      </c>
      <c r="H49" s="8">
        <v>83.69</v>
      </c>
      <c r="I49" s="8">
        <v>81.44</v>
      </c>
      <c r="J49" s="8">
        <v>104.5</v>
      </c>
      <c r="K49" s="8">
        <v>95.79</v>
      </c>
      <c r="L49" s="8">
        <v>93.54</v>
      </c>
      <c r="M49" s="8">
        <v>105.44</v>
      </c>
      <c r="N49" s="8">
        <v>116.6</v>
      </c>
      <c r="O49" s="8">
        <v>57.31</v>
      </c>
      <c r="P49" s="8">
        <v>56.94</v>
      </c>
      <c r="Q49" s="8">
        <v>54.69</v>
      </c>
      <c r="R49" s="8">
        <v>46.26</v>
      </c>
      <c r="S49" s="8">
        <v>44.01</v>
      </c>
      <c r="T49" s="8">
        <v>42.89</v>
      </c>
      <c r="U49" s="9">
        <v>64.24</v>
      </c>
    </row>
    <row r="50" spans="1:21" ht="12.75">
      <c r="A50" s="1">
        <f t="shared" si="0"/>
        <v>44</v>
      </c>
      <c r="B50" s="4" t="s">
        <v>171</v>
      </c>
      <c r="C50" s="8">
        <v>122.1</v>
      </c>
      <c r="D50" s="8">
        <v>111</v>
      </c>
      <c r="E50" s="8">
        <v>95.9</v>
      </c>
      <c r="F50" s="8">
        <v>87.969</v>
      </c>
      <c r="G50" s="8">
        <v>85.71</v>
      </c>
      <c r="H50" s="8">
        <v>77.28</v>
      </c>
      <c r="I50" s="8">
        <v>75.03</v>
      </c>
      <c r="J50" s="8">
        <v>100.1</v>
      </c>
      <c r="K50" s="8">
        <v>91.19</v>
      </c>
      <c r="L50" s="8">
        <v>88.94</v>
      </c>
      <c r="M50" s="8">
        <v>88.21</v>
      </c>
      <c r="N50" s="8">
        <v>99.7</v>
      </c>
      <c r="O50" s="8">
        <v>57.72</v>
      </c>
      <c r="P50" s="8">
        <v>57.36</v>
      </c>
      <c r="Q50" s="8">
        <v>55.11</v>
      </c>
      <c r="R50" s="8">
        <v>46.68</v>
      </c>
      <c r="S50" s="8">
        <v>44.43</v>
      </c>
      <c r="T50" s="8">
        <v>42.04</v>
      </c>
      <c r="U50" s="9">
        <v>63.39</v>
      </c>
    </row>
    <row r="51" spans="1:21" ht="12.75">
      <c r="A51" s="1">
        <f t="shared" si="0"/>
        <v>45</v>
      </c>
      <c r="B51" s="4" t="s">
        <v>172</v>
      </c>
      <c r="C51" s="8">
        <v>120.7</v>
      </c>
      <c r="D51" s="8">
        <v>109.7</v>
      </c>
      <c r="E51" s="8">
        <v>93.6</v>
      </c>
      <c r="F51" s="8">
        <v>85.64</v>
      </c>
      <c r="G51" s="8">
        <v>83.39</v>
      </c>
      <c r="H51" s="8">
        <v>74.82</v>
      </c>
      <c r="I51" s="8">
        <v>72.57</v>
      </c>
      <c r="J51" s="8">
        <v>97.8</v>
      </c>
      <c r="K51" s="8">
        <v>88.91</v>
      </c>
      <c r="L51" s="8">
        <v>86.66</v>
      </c>
      <c r="M51" s="8">
        <v>86.58</v>
      </c>
      <c r="N51" s="8">
        <v>98</v>
      </c>
      <c r="O51" s="8">
        <v>57.88</v>
      </c>
      <c r="P51" s="8">
        <v>57.52</v>
      </c>
      <c r="Q51" s="8">
        <v>55.27</v>
      </c>
      <c r="R51" s="8">
        <v>46.7</v>
      </c>
      <c r="S51" s="8">
        <v>44.45</v>
      </c>
      <c r="T51" s="8">
        <v>41.72</v>
      </c>
      <c r="U51" s="9">
        <v>63.07</v>
      </c>
    </row>
    <row r="52" spans="1:21" ht="12.75">
      <c r="A52" s="1">
        <f t="shared" si="0"/>
        <v>46</v>
      </c>
      <c r="B52" s="4" t="s">
        <v>173</v>
      </c>
      <c r="C52" s="8">
        <v>122.6</v>
      </c>
      <c r="D52" s="8">
        <v>111.9</v>
      </c>
      <c r="E52" s="8">
        <v>93.7</v>
      </c>
      <c r="F52" s="8">
        <v>85.75</v>
      </c>
      <c r="G52" s="8">
        <v>83.5</v>
      </c>
      <c r="H52" s="8">
        <v>74.79</v>
      </c>
      <c r="I52" s="8">
        <v>72.54</v>
      </c>
      <c r="J52" s="8">
        <v>98</v>
      </c>
      <c r="K52" s="8">
        <v>89.07</v>
      </c>
      <c r="L52" s="8">
        <v>86.82</v>
      </c>
      <c r="M52" s="8">
        <v>85.29</v>
      </c>
      <c r="N52" s="8">
        <v>96.7</v>
      </c>
      <c r="O52" s="8">
        <v>56.27</v>
      </c>
      <c r="P52" s="8">
        <v>55.9</v>
      </c>
      <c r="Q52" s="8">
        <v>53.65</v>
      </c>
      <c r="R52" s="8">
        <v>44.94</v>
      </c>
      <c r="S52" s="8">
        <v>42.69</v>
      </c>
      <c r="T52" s="8">
        <v>41.56</v>
      </c>
      <c r="U52" s="9">
        <v>62.91</v>
      </c>
    </row>
    <row r="53" spans="1:21" ht="12.75">
      <c r="A53" s="1">
        <f t="shared" si="0"/>
        <v>47</v>
      </c>
      <c r="B53" s="4" t="s">
        <v>174</v>
      </c>
      <c r="C53" s="8">
        <v>119.9</v>
      </c>
      <c r="D53" s="8">
        <v>109.4</v>
      </c>
      <c r="E53" s="8">
        <v>91.7</v>
      </c>
      <c r="F53" s="8">
        <v>83.31</v>
      </c>
      <c r="G53" s="8">
        <v>81.06</v>
      </c>
      <c r="H53" s="8">
        <v>72.21</v>
      </c>
      <c r="I53" s="8">
        <v>69.96</v>
      </c>
      <c r="J53" s="8">
        <v>95.6</v>
      </c>
      <c r="K53" s="8">
        <v>86.66</v>
      </c>
      <c r="L53" s="8">
        <v>84.41</v>
      </c>
      <c r="M53" s="8">
        <v>81.36</v>
      </c>
      <c r="N53" s="8">
        <v>93.1</v>
      </c>
      <c r="O53" s="8">
        <v>55.35</v>
      </c>
      <c r="P53" s="8">
        <v>54.99</v>
      </c>
      <c r="Q53" s="8">
        <v>52.74</v>
      </c>
      <c r="R53" s="8">
        <v>43.89</v>
      </c>
      <c r="S53" s="8">
        <v>41.64</v>
      </c>
      <c r="T53" s="8">
        <v>39.58</v>
      </c>
      <c r="U53" s="9">
        <v>60.93</v>
      </c>
    </row>
    <row r="54" spans="1:21" ht="12.75">
      <c r="A54" s="1">
        <f t="shared" si="0"/>
        <v>48</v>
      </c>
      <c r="B54" s="4" t="s">
        <v>175</v>
      </c>
      <c r="C54" s="8">
        <v>121.8</v>
      </c>
      <c r="D54" s="8">
        <v>110.4</v>
      </c>
      <c r="E54" s="8">
        <v>91</v>
      </c>
      <c r="F54" s="8">
        <v>82.68</v>
      </c>
      <c r="G54" s="8">
        <v>80.18</v>
      </c>
      <c r="H54" s="8">
        <v>71.44</v>
      </c>
      <c r="I54" s="8">
        <v>68.94</v>
      </c>
      <c r="J54" s="8">
        <v>95</v>
      </c>
      <c r="K54" s="8">
        <v>86.06</v>
      </c>
      <c r="L54" s="8">
        <v>83.56</v>
      </c>
      <c r="M54" s="8">
        <v>81.49</v>
      </c>
      <c r="N54" s="8">
        <v>93.3</v>
      </c>
      <c r="O54" s="8">
        <v>56.53</v>
      </c>
      <c r="P54" s="8">
        <v>56.16</v>
      </c>
      <c r="Q54" s="8">
        <v>53.66</v>
      </c>
      <c r="R54" s="8">
        <v>44.92</v>
      </c>
      <c r="S54" s="8">
        <v>42.42</v>
      </c>
      <c r="T54" s="8">
        <v>41.28</v>
      </c>
      <c r="U54" s="9">
        <v>62.63</v>
      </c>
    </row>
    <row r="55" spans="1:21" ht="12.75">
      <c r="A55" s="1">
        <f t="shared" si="0"/>
        <v>49</v>
      </c>
      <c r="B55" s="4" t="s">
        <v>176</v>
      </c>
      <c r="C55" s="8">
        <v>121.1</v>
      </c>
      <c r="D55" s="8">
        <v>109.5</v>
      </c>
      <c r="E55" s="8">
        <v>90</v>
      </c>
      <c r="F55" s="8">
        <v>81.62</v>
      </c>
      <c r="G55" s="8">
        <v>78.87</v>
      </c>
      <c r="H55" s="8">
        <v>70.38</v>
      </c>
      <c r="I55" s="8">
        <v>67.63</v>
      </c>
      <c r="J55" s="8">
        <v>93.9</v>
      </c>
      <c r="K55" s="8">
        <v>85</v>
      </c>
      <c r="L55" s="8">
        <v>82.25</v>
      </c>
      <c r="M55" s="8">
        <v>79.33</v>
      </c>
      <c r="N55" s="8">
        <v>91.4</v>
      </c>
      <c r="O55" s="8">
        <v>57.03</v>
      </c>
      <c r="P55" s="8">
        <v>56.66</v>
      </c>
      <c r="Q55" s="8">
        <v>53.91</v>
      </c>
      <c r="R55" s="8">
        <v>45.42</v>
      </c>
      <c r="S55" s="8">
        <v>42.67</v>
      </c>
      <c r="T55" s="8">
        <v>41.13</v>
      </c>
      <c r="U55" s="9">
        <v>62.48</v>
      </c>
    </row>
    <row r="56" spans="1:21" ht="12.75">
      <c r="A56" s="1">
        <f t="shared" si="0"/>
        <v>50</v>
      </c>
      <c r="B56" s="4" t="s">
        <v>177</v>
      </c>
      <c r="C56" s="8">
        <v>128.1</v>
      </c>
      <c r="D56" s="8">
        <v>115</v>
      </c>
      <c r="E56" s="8">
        <v>93.7</v>
      </c>
      <c r="F56" s="8">
        <v>85.33</v>
      </c>
      <c r="G56" s="8">
        <v>82.58</v>
      </c>
      <c r="H56" s="8">
        <v>74.09</v>
      </c>
      <c r="I56" s="8">
        <v>71.34</v>
      </c>
      <c r="J56" s="8">
        <v>97.6</v>
      </c>
      <c r="K56" s="8">
        <v>88.71</v>
      </c>
      <c r="L56" s="8">
        <v>85.96</v>
      </c>
      <c r="M56" s="8">
        <v>84.32</v>
      </c>
      <c r="N56" s="8">
        <v>96.4</v>
      </c>
      <c r="O56" s="8">
        <v>58.42</v>
      </c>
      <c r="P56" s="8">
        <v>58.06</v>
      </c>
      <c r="Q56" s="8">
        <v>55.31</v>
      </c>
      <c r="R56" s="8">
        <v>46.82</v>
      </c>
      <c r="S56" s="8">
        <v>44.07</v>
      </c>
      <c r="T56" s="8">
        <v>42.22</v>
      </c>
      <c r="U56" s="9">
        <v>63.57</v>
      </c>
    </row>
    <row r="57" spans="1:21" ht="12.75">
      <c r="A57" s="1">
        <f t="shared" si="0"/>
        <v>51</v>
      </c>
      <c r="B57" s="4" t="s">
        <v>178</v>
      </c>
      <c r="C57" s="8">
        <v>128.6</v>
      </c>
      <c r="D57" s="8">
        <v>117.4</v>
      </c>
      <c r="E57" s="8">
        <v>95.7</v>
      </c>
      <c r="F57" s="8">
        <v>87.34</v>
      </c>
      <c r="G57" s="8">
        <v>84.59</v>
      </c>
      <c r="H57" s="8">
        <v>76.1</v>
      </c>
      <c r="I57" s="8">
        <v>73.35</v>
      </c>
      <c r="J57" s="8">
        <v>99.6</v>
      </c>
      <c r="K57" s="8">
        <v>90.72</v>
      </c>
      <c r="L57" s="8">
        <v>87.97</v>
      </c>
      <c r="M57" s="8">
        <v>86.1</v>
      </c>
      <c r="N57" s="8">
        <v>98.2</v>
      </c>
      <c r="O57" s="8">
        <v>59.73</v>
      </c>
      <c r="P57" s="8">
        <v>59.36</v>
      </c>
      <c r="Q57" s="8">
        <v>56.61</v>
      </c>
      <c r="R57" s="8">
        <v>48.12</v>
      </c>
      <c r="S57" s="8">
        <v>45.37</v>
      </c>
      <c r="T57" s="8">
        <v>45.71</v>
      </c>
      <c r="U57" s="9">
        <v>67.06</v>
      </c>
    </row>
    <row r="58" spans="1:21" ht="12.75">
      <c r="A58" s="1">
        <f t="shared" si="0"/>
        <v>52</v>
      </c>
      <c r="B58" s="4" t="s">
        <v>179</v>
      </c>
      <c r="C58" s="8">
        <v>124.4</v>
      </c>
      <c r="D58" s="8">
        <v>113.1</v>
      </c>
      <c r="E58" s="8">
        <v>90.7</v>
      </c>
      <c r="F58" s="8">
        <v>82.37</v>
      </c>
      <c r="G58" s="8">
        <v>79.62</v>
      </c>
      <c r="H58" s="8">
        <v>71.13</v>
      </c>
      <c r="I58" s="8">
        <v>68.38</v>
      </c>
      <c r="J58" s="8">
        <v>94.5</v>
      </c>
      <c r="K58" s="8">
        <v>85.58</v>
      </c>
      <c r="L58" s="8">
        <v>82.83</v>
      </c>
      <c r="M58" s="8">
        <v>82.84</v>
      </c>
      <c r="N58" s="8">
        <v>94.5</v>
      </c>
      <c r="O58" s="8">
        <v>59.85</v>
      </c>
      <c r="P58" s="8">
        <v>59.49</v>
      </c>
      <c r="Q58" s="8">
        <v>56.74</v>
      </c>
      <c r="R58" s="8">
        <v>48.25</v>
      </c>
      <c r="S58" s="8">
        <v>45.5</v>
      </c>
      <c r="T58" s="8">
        <v>44.18</v>
      </c>
      <c r="U58" s="12">
        <v>65.53</v>
      </c>
    </row>
    <row r="59" spans="2:21" ht="13.5" thickBot="1">
      <c r="B59" s="2" t="s">
        <v>65</v>
      </c>
      <c r="C59" s="16">
        <f>SUM(C7:C58)/52</f>
        <v>112.6115384615385</v>
      </c>
      <c r="D59" s="16">
        <f aca="true" t="shared" si="1" ref="D59:U59">SUM(D7:D58)/52</f>
        <v>102.0076923076923</v>
      </c>
      <c r="E59" s="16">
        <f t="shared" si="1"/>
        <v>78.67115384615386</v>
      </c>
      <c r="F59" s="16">
        <f t="shared" si="1"/>
        <v>71.98324999999998</v>
      </c>
      <c r="G59" s="16">
        <f t="shared" si="1"/>
        <v>69.73884615384614</v>
      </c>
      <c r="H59" s="16">
        <f t="shared" si="1"/>
        <v>61.25403846153847</v>
      </c>
      <c r="I59" s="16">
        <f t="shared" si="1"/>
        <v>59.0098076923077</v>
      </c>
      <c r="J59" s="16">
        <f t="shared" si="1"/>
        <v>81.77692307692307</v>
      </c>
      <c r="K59" s="16">
        <f t="shared" si="1"/>
        <v>75.14326923076923</v>
      </c>
      <c r="L59" s="16">
        <f t="shared" si="1"/>
        <v>72.8994230769231</v>
      </c>
      <c r="M59" s="16">
        <f t="shared" si="1"/>
        <v>72.13269230769232</v>
      </c>
      <c r="N59" s="16">
        <f t="shared" si="1"/>
        <v>81.53076923076922</v>
      </c>
      <c r="O59" s="16">
        <f t="shared" si="1"/>
        <v>47.72865384615386</v>
      </c>
      <c r="P59" s="16">
        <f t="shared" si="1"/>
        <v>47.32153846153846</v>
      </c>
      <c r="Q59" s="16">
        <f t="shared" si="1"/>
        <v>45.08115384615384</v>
      </c>
      <c r="R59" s="16">
        <f t="shared" si="1"/>
        <v>36.5925</v>
      </c>
      <c r="S59" s="16">
        <f t="shared" si="1"/>
        <v>34.34826923076923</v>
      </c>
      <c r="T59" s="16">
        <f t="shared" si="1"/>
        <v>30.69384615384616</v>
      </c>
      <c r="U59" s="16">
        <f t="shared" si="1"/>
        <v>52.32749999999999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colBreaks count="1" manualBreakCount="1">
    <brk id="21" max="5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11.421875" defaultRowHeight="12.75" outlineLevelRow="1"/>
  <cols>
    <col min="1" max="1" width="3.00390625" style="0" bestFit="1" customWidth="1"/>
    <col min="2" max="2" width="22.0039062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28125" style="0" bestFit="1" customWidth="1"/>
    <col min="10" max="12" width="7.7109375" style="0" bestFit="1" customWidth="1"/>
    <col min="13" max="13" width="6.7109375" style="0" bestFit="1" customWidth="1"/>
    <col min="14" max="14" width="7.421875" style="0" customWidth="1"/>
    <col min="15" max="15" width="5.57421875" style="0" bestFit="1" customWidth="1"/>
    <col min="16" max="16" width="6.57421875" style="0" customWidth="1"/>
    <col min="17" max="17" width="7.00390625" style="0" customWidth="1"/>
    <col min="18" max="18" width="7.28125" style="0" customWidth="1"/>
    <col min="19" max="19" width="7.7109375" style="0" customWidth="1"/>
    <col min="20" max="20" width="5.57421875" style="0" bestFit="1" customWidth="1"/>
    <col min="21" max="21" width="6.28125" style="0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709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35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55.5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</row>
    <row r="7" spans="1:21" ht="12.75" outlineLevel="1">
      <c r="A7" s="1">
        <f>1</f>
        <v>1</v>
      </c>
      <c r="B7" s="3" t="s">
        <v>20</v>
      </c>
      <c r="C7" s="5">
        <v>128.5</v>
      </c>
      <c r="D7" s="6">
        <v>116.8</v>
      </c>
      <c r="E7" s="7">
        <v>94</v>
      </c>
      <c r="F7" s="6">
        <v>85.7</v>
      </c>
      <c r="G7" s="7">
        <v>82.95</v>
      </c>
      <c r="H7" s="6">
        <v>74.46</v>
      </c>
      <c r="I7" s="7">
        <v>71.71</v>
      </c>
      <c r="J7" s="6">
        <v>97.8</v>
      </c>
      <c r="K7" s="6">
        <v>88.91</v>
      </c>
      <c r="L7" s="7">
        <v>86.16</v>
      </c>
      <c r="M7" s="6">
        <v>85.67</v>
      </c>
      <c r="N7" s="7">
        <v>97.7</v>
      </c>
      <c r="O7" s="6">
        <v>61.74</v>
      </c>
      <c r="P7" s="6">
        <v>61.38</v>
      </c>
      <c r="Q7" s="6">
        <v>58.63</v>
      </c>
      <c r="R7" s="7">
        <v>50.14</v>
      </c>
      <c r="S7" s="6">
        <v>47.39</v>
      </c>
      <c r="T7" s="7">
        <v>44.19</v>
      </c>
      <c r="U7" s="6">
        <v>65.54</v>
      </c>
    </row>
    <row r="8" spans="1:21" ht="12.75" outlineLevel="1">
      <c r="A8" s="1">
        <f>A7+1</f>
        <v>2</v>
      </c>
      <c r="B8" s="4" t="s">
        <v>21</v>
      </c>
      <c r="C8" s="8">
        <v>126</v>
      </c>
      <c r="D8" s="9">
        <v>115.6</v>
      </c>
      <c r="E8" s="10">
        <v>92.5</v>
      </c>
      <c r="F8" s="9">
        <v>85.15</v>
      </c>
      <c r="G8" s="10">
        <v>82.4</v>
      </c>
      <c r="H8" s="9">
        <v>72.56</v>
      </c>
      <c r="I8" s="10">
        <v>69.81</v>
      </c>
      <c r="J8" s="9">
        <v>96.9</v>
      </c>
      <c r="K8" s="9">
        <v>88.01</v>
      </c>
      <c r="L8" s="10">
        <v>85.26</v>
      </c>
      <c r="M8" s="9">
        <v>85.18</v>
      </c>
      <c r="N8" s="10">
        <v>96.9</v>
      </c>
      <c r="O8" s="9">
        <v>59.01</v>
      </c>
      <c r="P8" s="9">
        <v>58.64</v>
      </c>
      <c r="Q8" s="9">
        <v>55.89</v>
      </c>
      <c r="R8" s="10">
        <v>47.4</v>
      </c>
      <c r="S8" s="9">
        <v>44.65</v>
      </c>
      <c r="T8" s="10">
        <v>44.19</v>
      </c>
      <c r="U8" s="9">
        <v>65.54</v>
      </c>
    </row>
    <row r="9" spans="1:21" ht="12.75" outlineLevel="1">
      <c r="A9" s="1">
        <f aca="true" t="shared" si="0" ref="A9:A58">A8+1</f>
        <v>3</v>
      </c>
      <c r="B9" s="4" t="s">
        <v>22</v>
      </c>
      <c r="C9" s="8">
        <v>130.3</v>
      </c>
      <c r="D9" s="9">
        <v>119.3</v>
      </c>
      <c r="E9" s="10">
        <v>95.4</v>
      </c>
      <c r="F9" s="9">
        <v>87.09</v>
      </c>
      <c r="G9" s="10">
        <v>84.34</v>
      </c>
      <c r="H9" s="9">
        <v>75.85</v>
      </c>
      <c r="I9" s="10">
        <v>73.1</v>
      </c>
      <c r="J9" s="9">
        <v>99.2</v>
      </c>
      <c r="K9" s="9">
        <v>90.3</v>
      </c>
      <c r="L9" s="10">
        <v>87.55</v>
      </c>
      <c r="M9" s="9">
        <v>85.82</v>
      </c>
      <c r="N9" s="10">
        <v>97.7</v>
      </c>
      <c r="O9" s="9">
        <v>62.37</v>
      </c>
      <c r="P9" s="9">
        <v>62</v>
      </c>
      <c r="Q9" s="9">
        <v>59.25</v>
      </c>
      <c r="R9" s="10">
        <v>50.76</v>
      </c>
      <c r="S9" s="9">
        <v>48.01</v>
      </c>
      <c r="T9" s="10">
        <v>44.18</v>
      </c>
      <c r="U9" s="9">
        <v>65.53</v>
      </c>
    </row>
    <row r="10" spans="1:21" ht="12.75" outlineLevel="1">
      <c r="A10" s="1">
        <f t="shared" si="0"/>
        <v>4</v>
      </c>
      <c r="B10" s="4" t="s">
        <v>23</v>
      </c>
      <c r="C10" s="8">
        <v>131.3</v>
      </c>
      <c r="D10" s="9">
        <v>119.8</v>
      </c>
      <c r="E10" s="10">
        <v>95.6</v>
      </c>
      <c r="F10" s="9">
        <v>87.28</v>
      </c>
      <c r="G10" s="10">
        <v>84.53</v>
      </c>
      <c r="H10" s="9">
        <v>76.04</v>
      </c>
      <c r="I10" s="10">
        <v>73.29</v>
      </c>
      <c r="J10" s="9">
        <v>99.4</v>
      </c>
      <c r="K10" s="9">
        <v>90.49</v>
      </c>
      <c r="L10" s="10">
        <v>87.74</v>
      </c>
      <c r="M10" s="9">
        <v>86.84</v>
      </c>
      <c r="N10" s="10">
        <v>98.7</v>
      </c>
      <c r="O10" s="9">
        <v>63.52</v>
      </c>
      <c r="P10" s="9">
        <v>63.16</v>
      </c>
      <c r="Q10" s="9">
        <v>60.41</v>
      </c>
      <c r="R10" s="10">
        <v>51.92</v>
      </c>
      <c r="S10" s="9">
        <v>49.17</v>
      </c>
      <c r="T10" s="10">
        <v>44.75</v>
      </c>
      <c r="U10" s="9">
        <v>66.1</v>
      </c>
    </row>
    <row r="11" spans="1:21" ht="12.75" outlineLevel="1">
      <c r="A11" s="1">
        <f t="shared" si="0"/>
        <v>5</v>
      </c>
      <c r="B11" s="4" t="s">
        <v>28</v>
      </c>
      <c r="C11" s="8">
        <v>130.5</v>
      </c>
      <c r="D11" s="9">
        <v>118.8</v>
      </c>
      <c r="E11" s="10">
        <v>99.1</v>
      </c>
      <c r="F11" s="9">
        <v>90.78</v>
      </c>
      <c r="G11" s="10">
        <v>88.03</v>
      </c>
      <c r="H11" s="9">
        <v>79.4</v>
      </c>
      <c r="I11" s="10">
        <v>76.65</v>
      </c>
      <c r="J11" s="9">
        <v>102.9</v>
      </c>
      <c r="K11" s="9">
        <v>94.02</v>
      </c>
      <c r="L11" s="10">
        <v>91.27</v>
      </c>
      <c r="M11" s="9">
        <v>91.04</v>
      </c>
      <c r="N11" s="10">
        <v>103</v>
      </c>
      <c r="O11" s="9">
        <v>65.97</v>
      </c>
      <c r="P11" s="9">
        <v>65.61</v>
      </c>
      <c r="Q11" s="9">
        <v>62.86</v>
      </c>
      <c r="R11" s="10">
        <v>54.23</v>
      </c>
      <c r="S11" s="9">
        <v>51.48</v>
      </c>
      <c r="T11" s="10">
        <v>43.75</v>
      </c>
      <c r="U11" s="9">
        <v>65.1</v>
      </c>
    </row>
    <row r="12" spans="1:21" ht="12.75" outlineLevel="1">
      <c r="A12" s="1">
        <f t="shared" si="0"/>
        <v>6</v>
      </c>
      <c r="B12" s="4" t="s">
        <v>24</v>
      </c>
      <c r="C12" s="8">
        <v>132.8</v>
      </c>
      <c r="D12" s="9">
        <v>121.5</v>
      </c>
      <c r="E12" s="10">
        <v>99</v>
      </c>
      <c r="F12" s="9">
        <v>90.65</v>
      </c>
      <c r="G12" s="10">
        <v>87.9</v>
      </c>
      <c r="H12" s="9">
        <v>79.27</v>
      </c>
      <c r="I12" s="10">
        <v>76.52</v>
      </c>
      <c r="J12" s="9">
        <v>102.8</v>
      </c>
      <c r="K12" s="9">
        <v>93.88</v>
      </c>
      <c r="L12" s="10">
        <v>91.13</v>
      </c>
      <c r="M12" s="9">
        <v>90.77</v>
      </c>
      <c r="N12" s="10">
        <v>102.5</v>
      </c>
      <c r="O12" s="9">
        <v>67.95</v>
      </c>
      <c r="P12" s="9">
        <v>67.59</v>
      </c>
      <c r="Q12" s="9">
        <v>64.84</v>
      </c>
      <c r="R12" s="10">
        <v>56.21</v>
      </c>
      <c r="S12" s="9">
        <v>53.46</v>
      </c>
      <c r="T12" s="10">
        <v>42.6</v>
      </c>
      <c r="U12" s="9">
        <v>63.95</v>
      </c>
    </row>
    <row r="13" spans="1:21" ht="12.75" outlineLevel="1">
      <c r="A13" s="1">
        <f t="shared" si="0"/>
        <v>7</v>
      </c>
      <c r="B13" s="4" t="s">
        <v>25</v>
      </c>
      <c r="C13" s="8">
        <v>127.8</v>
      </c>
      <c r="D13" s="9">
        <v>116.6</v>
      </c>
      <c r="E13" s="10">
        <v>93</v>
      </c>
      <c r="F13" s="9">
        <v>84.67</v>
      </c>
      <c r="G13" s="10">
        <v>81.92</v>
      </c>
      <c r="H13" s="9">
        <v>73.29</v>
      </c>
      <c r="I13" s="10">
        <v>70.54</v>
      </c>
      <c r="J13" s="9">
        <v>96.9</v>
      </c>
      <c r="K13" s="9">
        <v>87.91</v>
      </c>
      <c r="L13" s="10">
        <v>85.16</v>
      </c>
      <c r="M13" s="9">
        <v>86.53</v>
      </c>
      <c r="N13" s="10">
        <v>98.2</v>
      </c>
      <c r="O13" s="9">
        <v>66.91</v>
      </c>
      <c r="P13" s="9">
        <v>66.53</v>
      </c>
      <c r="Q13" s="9">
        <v>63.78</v>
      </c>
      <c r="R13" s="10">
        <v>55.15</v>
      </c>
      <c r="S13" s="9">
        <v>52.4</v>
      </c>
      <c r="T13" s="10">
        <v>42.38</v>
      </c>
      <c r="U13" s="9">
        <v>64.25</v>
      </c>
    </row>
    <row r="14" spans="1:21" ht="12.75" outlineLevel="1">
      <c r="A14" s="1">
        <f t="shared" si="0"/>
        <v>8</v>
      </c>
      <c r="B14" s="4" t="s">
        <v>26</v>
      </c>
      <c r="C14" s="8">
        <v>123.4</v>
      </c>
      <c r="D14" s="9">
        <v>112.5</v>
      </c>
      <c r="E14" s="10">
        <v>90.5</v>
      </c>
      <c r="F14" s="9">
        <v>82.19</v>
      </c>
      <c r="G14" s="10">
        <v>79.44</v>
      </c>
      <c r="H14" s="9">
        <v>63.09</v>
      </c>
      <c r="I14" s="10">
        <v>60.34</v>
      </c>
      <c r="J14" s="9">
        <v>94.4</v>
      </c>
      <c r="K14" s="9">
        <v>85.43</v>
      </c>
      <c r="L14" s="10">
        <v>82.68</v>
      </c>
      <c r="M14" s="9">
        <v>84.81</v>
      </c>
      <c r="N14" s="10">
        <v>96.5</v>
      </c>
      <c r="O14" s="9">
        <v>63.96</v>
      </c>
      <c r="P14" s="9">
        <v>63.57</v>
      </c>
      <c r="Q14" s="9">
        <v>60.82</v>
      </c>
      <c r="R14" s="10">
        <v>46.57</v>
      </c>
      <c r="S14" s="9">
        <v>43.82</v>
      </c>
      <c r="T14" s="10">
        <v>40.94</v>
      </c>
      <c r="U14" s="9">
        <v>62.81</v>
      </c>
    </row>
    <row r="15" spans="1:21" ht="12.75" outlineLevel="1">
      <c r="A15" s="1">
        <f t="shared" si="0"/>
        <v>9</v>
      </c>
      <c r="B15" s="4" t="s">
        <v>27</v>
      </c>
      <c r="C15" s="8">
        <v>125.1</v>
      </c>
      <c r="D15" s="9">
        <v>114.9</v>
      </c>
      <c r="E15" s="10">
        <v>91.8</v>
      </c>
      <c r="F15" s="9">
        <v>83.43</v>
      </c>
      <c r="G15" s="10">
        <v>80.68</v>
      </c>
      <c r="H15" s="9">
        <v>64.19</v>
      </c>
      <c r="I15" s="10">
        <v>61.44</v>
      </c>
      <c r="J15" s="9">
        <v>95.6</v>
      </c>
      <c r="K15" s="9">
        <v>86.66</v>
      </c>
      <c r="L15" s="10">
        <v>83.91</v>
      </c>
      <c r="M15" s="9">
        <v>84.92</v>
      </c>
      <c r="N15" s="10">
        <v>96.7</v>
      </c>
      <c r="O15" s="9">
        <v>64.06</v>
      </c>
      <c r="P15" s="9">
        <v>63.67</v>
      </c>
      <c r="Q15" s="9">
        <v>60.92</v>
      </c>
      <c r="R15" s="10">
        <v>46.66</v>
      </c>
      <c r="S15" s="9">
        <v>43.91</v>
      </c>
      <c r="T15" s="10">
        <v>41.01</v>
      </c>
      <c r="U15" s="9">
        <v>62.88</v>
      </c>
    </row>
    <row r="16" spans="1:21" ht="12.75" outlineLevel="1">
      <c r="A16" s="1">
        <f t="shared" si="0"/>
        <v>10</v>
      </c>
      <c r="B16" s="4" t="s">
        <v>29</v>
      </c>
      <c r="C16" s="8">
        <v>127.2</v>
      </c>
      <c r="D16" s="9">
        <v>116.6</v>
      </c>
      <c r="E16" s="10">
        <v>94.4</v>
      </c>
      <c r="F16" s="9">
        <v>86.08</v>
      </c>
      <c r="G16" s="10">
        <v>83.33</v>
      </c>
      <c r="H16" s="9">
        <v>66.54</v>
      </c>
      <c r="I16" s="10">
        <v>63.79</v>
      </c>
      <c r="J16" s="9">
        <v>98.3</v>
      </c>
      <c r="K16" s="9">
        <v>89.32</v>
      </c>
      <c r="L16" s="10">
        <v>86.57</v>
      </c>
      <c r="M16" s="9">
        <v>85.19</v>
      </c>
      <c r="N16" s="10">
        <v>97.3</v>
      </c>
      <c r="O16" s="9">
        <v>62.99</v>
      </c>
      <c r="P16" s="9">
        <v>62.6</v>
      </c>
      <c r="Q16" s="9">
        <v>59.85</v>
      </c>
      <c r="R16" s="10">
        <v>45.71</v>
      </c>
      <c r="S16" s="9">
        <v>42.96</v>
      </c>
      <c r="T16" s="10">
        <v>38.96</v>
      </c>
      <c r="U16" s="9">
        <v>60.83</v>
      </c>
    </row>
    <row r="17" spans="1:21" ht="12.75" outlineLevel="1">
      <c r="A17" s="1">
        <f t="shared" si="0"/>
        <v>11</v>
      </c>
      <c r="B17" s="4" t="s">
        <v>30</v>
      </c>
      <c r="C17" s="8">
        <v>132</v>
      </c>
      <c r="D17" s="9">
        <v>119.5</v>
      </c>
      <c r="E17" s="10">
        <v>95.4</v>
      </c>
      <c r="F17" s="9">
        <v>75.71</v>
      </c>
      <c r="G17" s="10">
        <v>72.96</v>
      </c>
      <c r="H17" s="9">
        <v>67.43</v>
      </c>
      <c r="I17" s="10">
        <v>64.68</v>
      </c>
      <c r="J17" s="9">
        <v>99.3</v>
      </c>
      <c r="K17" s="9">
        <v>90.32</v>
      </c>
      <c r="L17" s="10">
        <v>87.57</v>
      </c>
      <c r="M17" s="9">
        <v>85.39</v>
      </c>
      <c r="N17" s="10">
        <v>97.5</v>
      </c>
      <c r="O17" s="9">
        <v>62.66</v>
      </c>
      <c r="P17" s="9">
        <v>50.9</v>
      </c>
      <c r="Q17" s="9">
        <v>48.15</v>
      </c>
      <c r="R17" s="10">
        <v>45.43</v>
      </c>
      <c r="S17" s="9">
        <v>42.68</v>
      </c>
      <c r="T17" s="10">
        <v>37.45</v>
      </c>
      <c r="U17" s="9">
        <v>59.32</v>
      </c>
    </row>
    <row r="18" spans="1:21" ht="12.75" outlineLevel="1">
      <c r="A18" s="1">
        <f t="shared" si="0"/>
        <v>12</v>
      </c>
      <c r="B18" s="4" t="s">
        <v>31</v>
      </c>
      <c r="C18" s="8">
        <v>136.9</v>
      </c>
      <c r="D18" s="9">
        <v>123.4</v>
      </c>
      <c r="E18" s="10">
        <v>95.6</v>
      </c>
      <c r="F18" s="9">
        <v>75.83</v>
      </c>
      <c r="G18" s="10">
        <v>73.08</v>
      </c>
      <c r="H18" s="9">
        <v>67.53</v>
      </c>
      <c r="I18" s="10">
        <v>64.78</v>
      </c>
      <c r="J18" s="9">
        <v>99.4</v>
      </c>
      <c r="K18" s="9">
        <v>90.45</v>
      </c>
      <c r="L18" s="10">
        <v>87.7</v>
      </c>
      <c r="M18" s="9">
        <v>87.44</v>
      </c>
      <c r="N18" s="10">
        <v>99.5</v>
      </c>
      <c r="O18" s="9">
        <v>62.7</v>
      </c>
      <c r="P18" s="9">
        <v>50.92</v>
      </c>
      <c r="Q18" s="9">
        <v>48.17</v>
      </c>
      <c r="R18" s="10">
        <v>45.45</v>
      </c>
      <c r="S18" s="9">
        <v>42.7</v>
      </c>
      <c r="T18" s="10">
        <v>38.79</v>
      </c>
      <c r="U18" s="9">
        <v>60.66</v>
      </c>
    </row>
    <row r="19" spans="1:21" ht="12.75" outlineLevel="1">
      <c r="A19" s="1">
        <f t="shared" si="0"/>
        <v>13</v>
      </c>
      <c r="B19" s="4" t="s">
        <v>32</v>
      </c>
      <c r="C19" s="8">
        <v>135.9</v>
      </c>
      <c r="D19" s="9">
        <v>121.8</v>
      </c>
      <c r="E19" s="10">
        <v>93</v>
      </c>
      <c r="F19" s="9">
        <v>72.79</v>
      </c>
      <c r="G19" s="10">
        <v>70.04</v>
      </c>
      <c r="H19" s="9">
        <v>64.85</v>
      </c>
      <c r="I19" s="10">
        <v>62.1</v>
      </c>
      <c r="J19" s="9">
        <v>96.4</v>
      </c>
      <c r="K19" s="9">
        <v>87.41</v>
      </c>
      <c r="L19" s="10">
        <v>84.66</v>
      </c>
      <c r="M19" s="9">
        <v>82.16</v>
      </c>
      <c r="N19" s="10">
        <v>96.6</v>
      </c>
      <c r="O19" s="9">
        <v>62.18</v>
      </c>
      <c r="P19" s="9">
        <v>50.41</v>
      </c>
      <c r="Q19" s="9">
        <v>47.66</v>
      </c>
      <c r="R19" s="10">
        <v>45</v>
      </c>
      <c r="S19" s="9">
        <v>42.25</v>
      </c>
      <c r="T19" s="10">
        <v>38.26</v>
      </c>
      <c r="U19" s="9">
        <v>60.13</v>
      </c>
    </row>
    <row r="20" spans="1:21" ht="12.75" outlineLevel="1">
      <c r="A20" s="1">
        <f t="shared" si="0"/>
        <v>14</v>
      </c>
      <c r="B20" s="4" t="s">
        <v>33</v>
      </c>
      <c r="C20" s="8">
        <v>138.8</v>
      </c>
      <c r="D20" s="9">
        <v>124.4</v>
      </c>
      <c r="E20" s="10">
        <v>95</v>
      </c>
      <c r="F20" s="9">
        <v>74.17</v>
      </c>
      <c r="G20" s="10">
        <v>71.42</v>
      </c>
      <c r="H20" s="9">
        <v>66.07</v>
      </c>
      <c r="I20" s="10">
        <v>63.32</v>
      </c>
      <c r="J20" s="9">
        <v>98.6</v>
      </c>
      <c r="K20" s="9">
        <v>89.67</v>
      </c>
      <c r="L20" s="10">
        <v>86.92</v>
      </c>
      <c r="M20" s="9">
        <v>84.96</v>
      </c>
      <c r="N20" s="10">
        <v>98.7</v>
      </c>
      <c r="O20" s="9">
        <v>63.61</v>
      </c>
      <c r="P20" s="9">
        <v>51.85</v>
      </c>
      <c r="Q20" s="9">
        <v>49.1</v>
      </c>
      <c r="R20" s="10">
        <v>46.27</v>
      </c>
      <c r="S20" s="9">
        <v>43.52</v>
      </c>
      <c r="T20" s="10">
        <v>39.93</v>
      </c>
      <c r="U20" s="9">
        <v>61.8</v>
      </c>
    </row>
    <row r="21" spans="1:21" ht="12.75" outlineLevel="1">
      <c r="A21" s="1">
        <f t="shared" si="0"/>
        <v>15</v>
      </c>
      <c r="B21" s="4" t="s">
        <v>34</v>
      </c>
      <c r="C21" s="8">
        <v>140.9</v>
      </c>
      <c r="D21" s="9">
        <v>126.4</v>
      </c>
      <c r="E21" s="10">
        <v>97.2</v>
      </c>
      <c r="F21" s="9">
        <v>76.95</v>
      </c>
      <c r="G21" s="10">
        <v>74.2</v>
      </c>
      <c r="H21" s="9">
        <v>68.53</v>
      </c>
      <c r="I21" s="10">
        <v>65.78</v>
      </c>
      <c r="J21" s="9">
        <v>100.5</v>
      </c>
      <c r="K21" s="9">
        <v>91.58</v>
      </c>
      <c r="L21" s="10">
        <v>88.83</v>
      </c>
      <c r="M21" s="9">
        <v>86.79</v>
      </c>
      <c r="N21" s="10">
        <v>100.6</v>
      </c>
      <c r="O21" s="9">
        <v>64.12</v>
      </c>
      <c r="P21" s="9">
        <v>52.36</v>
      </c>
      <c r="Q21" s="9">
        <v>49.61</v>
      </c>
      <c r="R21" s="10">
        <v>46.72</v>
      </c>
      <c r="S21" s="9">
        <v>43.97</v>
      </c>
      <c r="T21" s="10">
        <v>39.27</v>
      </c>
      <c r="U21" s="9">
        <v>61.14</v>
      </c>
    </row>
    <row r="22" spans="1:21" ht="12.75" outlineLevel="1">
      <c r="A22" s="1">
        <f t="shared" si="0"/>
        <v>16</v>
      </c>
      <c r="B22" s="4" t="s">
        <v>36</v>
      </c>
      <c r="C22" s="8">
        <v>139.9</v>
      </c>
      <c r="D22" s="9">
        <v>125.4</v>
      </c>
      <c r="E22" s="10">
        <v>96</v>
      </c>
      <c r="F22" s="9">
        <v>75.52</v>
      </c>
      <c r="G22" s="10">
        <v>72.77</v>
      </c>
      <c r="H22" s="9">
        <v>67.26</v>
      </c>
      <c r="I22" s="10">
        <v>64.51</v>
      </c>
      <c r="J22" s="9">
        <v>99.1</v>
      </c>
      <c r="K22" s="9">
        <v>90.14</v>
      </c>
      <c r="L22" s="10">
        <v>87.39</v>
      </c>
      <c r="M22" s="9">
        <v>88.68</v>
      </c>
      <c r="N22" s="10">
        <v>102.5</v>
      </c>
      <c r="O22" s="9">
        <v>64.95</v>
      </c>
      <c r="P22" s="9">
        <v>53.18</v>
      </c>
      <c r="Q22" s="9">
        <v>50.43</v>
      </c>
      <c r="R22" s="10">
        <v>47.45</v>
      </c>
      <c r="S22" s="9">
        <v>44.7</v>
      </c>
      <c r="T22" s="10">
        <v>38.53</v>
      </c>
      <c r="U22" s="9">
        <v>60.4</v>
      </c>
    </row>
    <row r="23" spans="1:21" ht="12.75" outlineLevel="1">
      <c r="A23" s="1">
        <f t="shared" si="0"/>
        <v>17</v>
      </c>
      <c r="B23" s="4" t="s">
        <v>37</v>
      </c>
      <c r="C23" s="8">
        <v>142.9</v>
      </c>
      <c r="D23" s="9">
        <v>128.4</v>
      </c>
      <c r="E23" s="10">
        <v>98</v>
      </c>
      <c r="F23" s="9">
        <v>78.35</v>
      </c>
      <c r="G23" s="10">
        <v>75.6</v>
      </c>
      <c r="H23" s="9">
        <v>69.77</v>
      </c>
      <c r="I23" s="10">
        <v>67.02</v>
      </c>
      <c r="J23" s="9">
        <v>102.3</v>
      </c>
      <c r="K23" s="9">
        <v>93.37</v>
      </c>
      <c r="L23" s="10">
        <v>90.62</v>
      </c>
      <c r="M23" s="9">
        <v>93</v>
      </c>
      <c r="N23" s="10">
        <v>106.8</v>
      </c>
      <c r="O23" s="9">
        <v>66.66</v>
      </c>
      <c r="P23" s="9">
        <v>54.9</v>
      </c>
      <c r="Q23" s="9">
        <v>52.15</v>
      </c>
      <c r="R23" s="10">
        <v>48.97</v>
      </c>
      <c r="S23" s="9">
        <v>46.22</v>
      </c>
      <c r="T23" s="10">
        <v>39.53</v>
      </c>
      <c r="U23" s="9">
        <v>61.4</v>
      </c>
    </row>
    <row r="24" spans="1:21" ht="12.75" outlineLevel="1">
      <c r="A24" s="1">
        <f t="shared" si="0"/>
        <v>18</v>
      </c>
      <c r="B24" s="4" t="s">
        <v>38</v>
      </c>
      <c r="C24" s="8">
        <v>145.5</v>
      </c>
      <c r="D24" s="9">
        <v>131.3</v>
      </c>
      <c r="E24" s="10">
        <v>100.1</v>
      </c>
      <c r="F24" s="9">
        <v>80.57</v>
      </c>
      <c r="G24" s="10">
        <v>77.82</v>
      </c>
      <c r="H24" s="9">
        <v>71.73</v>
      </c>
      <c r="I24" s="10">
        <v>68.98</v>
      </c>
      <c r="J24" s="9">
        <v>104.1</v>
      </c>
      <c r="K24" s="9">
        <v>95.19</v>
      </c>
      <c r="L24" s="10">
        <v>92.44</v>
      </c>
      <c r="M24" s="9">
        <v>93.07</v>
      </c>
      <c r="N24" s="10">
        <v>106.8</v>
      </c>
      <c r="O24" s="9">
        <v>66.89</v>
      </c>
      <c r="P24" s="9">
        <v>55.13</v>
      </c>
      <c r="Q24" s="9">
        <v>52.38</v>
      </c>
      <c r="R24" s="10">
        <v>49.17</v>
      </c>
      <c r="S24" s="9">
        <v>46.42</v>
      </c>
      <c r="T24" s="10">
        <v>40.16</v>
      </c>
      <c r="U24" s="9">
        <v>62.03</v>
      </c>
    </row>
    <row r="25" spans="1:21" ht="12.75" outlineLevel="1">
      <c r="A25" s="1">
        <f t="shared" si="0"/>
        <v>19</v>
      </c>
      <c r="B25" s="4" t="s">
        <v>39</v>
      </c>
      <c r="C25" s="8">
        <v>144</v>
      </c>
      <c r="D25" s="9">
        <v>130.3</v>
      </c>
      <c r="E25" s="10">
        <v>99</v>
      </c>
      <c r="F25" s="9">
        <v>79.57</v>
      </c>
      <c r="G25" s="10">
        <v>76.82</v>
      </c>
      <c r="H25" s="9">
        <v>70.85</v>
      </c>
      <c r="I25" s="10">
        <v>68.1</v>
      </c>
      <c r="J25" s="9">
        <v>103</v>
      </c>
      <c r="K25" s="9">
        <v>94.64</v>
      </c>
      <c r="L25" s="10">
        <v>91.89</v>
      </c>
      <c r="M25" s="9">
        <v>93.09</v>
      </c>
      <c r="N25" s="10">
        <v>106.8</v>
      </c>
      <c r="O25" s="9">
        <v>67.48</v>
      </c>
      <c r="P25" s="9">
        <v>55.7</v>
      </c>
      <c r="Q25" s="9">
        <v>52.95</v>
      </c>
      <c r="R25" s="10">
        <v>49.68</v>
      </c>
      <c r="S25" s="9">
        <v>46.93</v>
      </c>
      <c r="T25" s="10">
        <v>39.51</v>
      </c>
      <c r="U25" s="9">
        <v>61.38</v>
      </c>
    </row>
    <row r="26" spans="1:21" ht="12.75" outlineLevel="1">
      <c r="A26" s="1">
        <f t="shared" si="0"/>
        <v>20</v>
      </c>
      <c r="B26" s="4" t="s">
        <v>40</v>
      </c>
      <c r="C26" s="8">
        <v>144.4</v>
      </c>
      <c r="D26" s="9">
        <v>131.1</v>
      </c>
      <c r="E26" s="10">
        <v>99.7</v>
      </c>
      <c r="F26" s="9">
        <v>80.32</v>
      </c>
      <c r="G26" s="10">
        <v>77.57</v>
      </c>
      <c r="H26" s="9">
        <v>71.51</v>
      </c>
      <c r="I26" s="10">
        <v>68.76</v>
      </c>
      <c r="J26" s="9">
        <v>103.6</v>
      </c>
      <c r="K26" s="9">
        <v>95.65</v>
      </c>
      <c r="L26" s="10">
        <v>92.9</v>
      </c>
      <c r="M26" s="9">
        <v>92.19</v>
      </c>
      <c r="N26" s="10">
        <v>105.8</v>
      </c>
      <c r="O26" s="9">
        <v>65.79</v>
      </c>
      <c r="P26" s="9">
        <v>54.02</v>
      </c>
      <c r="Q26" s="9">
        <v>51.27</v>
      </c>
      <c r="R26" s="10">
        <v>48.19</v>
      </c>
      <c r="S26" s="9">
        <v>45.44</v>
      </c>
      <c r="T26" s="10">
        <v>39.77</v>
      </c>
      <c r="U26" s="9">
        <v>61.64</v>
      </c>
    </row>
    <row r="27" spans="1:21" ht="12.75" outlineLevel="1">
      <c r="A27" s="1">
        <f t="shared" si="0"/>
        <v>21</v>
      </c>
      <c r="B27" s="4" t="s">
        <v>41</v>
      </c>
      <c r="C27" s="8">
        <v>141</v>
      </c>
      <c r="D27" s="9">
        <v>129.4</v>
      </c>
      <c r="E27" s="10">
        <v>99.4</v>
      </c>
      <c r="F27" s="9">
        <v>80.31</v>
      </c>
      <c r="G27" s="10">
        <v>77.56</v>
      </c>
      <c r="H27" s="9">
        <v>71.5</v>
      </c>
      <c r="I27" s="10">
        <v>68.75</v>
      </c>
      <c r="J27" s="9">
        <v>102.8</v>
      </c>
      <c r="K27" s="9">
        <v>94.93</v>
      </c>
      <c r="L27" s="10">
        <v>92.18</v>
      </c>
      <c r="M27" s="9">
        <v>90.32</v>
      </c>
      <c r="N27" s="10">
        <v>104</v>
      </c>
      <c r="O27" s="9">
        <v>64.73</v>
      </c>
      <c r="P27" s="9">
        <v>52.97</v>
      </c>
      <c r="Q27" s="9">
        <v>50.22</v>
      </c>
      <c r="R27" s="10">
        <v>47.26</v>
      </c>
      <c r="S27" s="9">
        <v>44.51</v>
      </c>
      <c r="T27" s="10">
        <v>41.24</v>
      </c>
      <c r="U27" s="9">
        <v>63.11</v>
      </c>
    </row>
    <row r="28" spans="1:21" ht="12.75" outlineLevel="1">
      <c r="A28" s="1">
        <f t="shared" si="0"/>
        <v>22</v>
      </c>
      <c r="B28" s="4" t="s">
        <v>42</v>
      </c>
      <c r="C28" s="8">
        <v>140.9</v>
      </c>
      <c r="D28" s="9">
        <v>129.2</v>
      </c>
      <c r="E28" s="10">
        <v>101.1</v>
      </c>
      <c r="F28" s="9">
        <v>80.34</v>
      </c>
      <c r="G28" s="10">
        <v>77.59</v>
      </c>
      <c r="H28" s="9">
        <v>71.53</v>
      </c>
      <c r="I28" s="10">
        <v>68.78</v>
      </c>
      <c r="J28" s="9">
        <v>104.4</v>
      </c>
      <c r="K28" s="9">
        <v>94.95</v>
      </c>
      <c r="L28" s="10">
        <v>92.2</v>
      </c>
      <c r="M28" s="9">
        <v>90.51</v>
      </c>
      <c r="N28" s="10">
        <v>104.2</v>
      </c>
      <c r="O28" s="9">
        <v>65.31</v>
      </c>
      <c r="P28" s="9">
        <v>53.54</v>
      </c>
      <c r="Q28" s="9">
        <v>50.79</v>
      </c>
      <c r="R28" s="10">
        <v>47.77</v>
      </c>
      <c r="S28" s="9">
        <v>45.02</v>
      </c>
      <c r="T28" s="10">
        <v>42.52</v>
      </c>
      <c r="U28" s="9">
        <v>64.39</v>
      </c>
    </row>
    <row r="29" spans="1:21" ht="12.75" outlineLevel="1">
      <c r="A29" s="1">
        <f t="shared" si="0"/>
        <v>23</v>
      </c>
      <c r="B29" s="4" t="s">
        <v>43</v>
      </c>
      <c r="C29" s="8">
        <v>144.9</v>
      </c>
      <c r="D29" s="9">
        <v>133.4</v>
      </c>
      <c r="E29" s="10">
        <v>102.8</v>
      </c>
      <c r="F29" s="9">
        <v>82.06</v>
      </c>
      <c r="G29" s="10">
        <v>79.31</v>
      </c>
      <c r="H29" s="9">
        <v>73.05</v>
      </c>
      <c r="I29" s="10">
        <v>70.3</v>
      </c>
      <c r="J29" s="9">
        <v>106.1</v>
      </c>
      <c r="K29" s="9">
        <v>96.68</v>
      </c>
      <c r="L29" s="10">
        <v>93.93</v>
      </c>
      <c r="M29" s="9">
        <v>92.1</v>
      </c>
      <c r="N29" s="10">
        <v>106.2</v>
      </c>
      <c r="O29" s="9">
        <v>65.22</v>
      </c>
      <c r="P29" s="9">
        <v>53.45</v>
      </c>
      <c r="Q29" s="9">
        <v>50.7</v>
      </c>
      <c r="R29" s="10">
        <v>47.69</v>
      </c>
      <c r="S29" s="9">
        <v>44.94</v>
      </c>
      <c r="T29" s="10">
        <v>43.09</v>
      </c>
      <c r="U29" s="9">
        <v>64.96</v>
      </c>
    </row>
    <row r="30" spans="1:21" ht="12.75" outlineLevel="1">
      <c r="A30" s="1">
        <f t="shared" si="0"/>
        <v>24</v>
      </c>
      <c r="B30" s="4" t="s">
        <v>44</v>
      </c>
      <c r="C30" s="8">
        <v>148.4</v>
      </c>
      <c r="D30" s="9">
        <v>137</v>
      </c>
      <c r="E30" s="10">
        <v>103.2</v>
      </c>
      <c r="F30" s="9">
        <v>82.44</v>
      </c>
      <c r="G30" s="10">
        <v>79.69</v>
      </c>
      <c r="H30" s="9">
        <v>73.39</v>
      </c>
      <c r="I30" s="10">
        <v>70.64</v>
      </c>
      <c r="J30" s="9">
        <v>106.5</v>
      </c>
      <c r="K30" s="9">
        <v>97.07</v>
      </c>
      <c r="L30" s="10">
        <v>94.32</v>
      </c>
      <c r="M30" s="9">
        <v>94.18</v>
      </c>
      <c r="N30" s="10">
        <v>108.3</v>
      </c>
      <c r="O30" s="9">
        <v>64.71</v>
      </c>
      <c r="P30" s="9">
        <v>52.93</v>
      </c>
      <c r="Q30" s="9">
        <v>50.18</v>
      </c>
      <c r="R30" s="10">
        <v>47.23</v>
      </c>
      <c r="S30" s="9">
        <v>44.48</v>
      </c>
      <c r="T30" s="10">
        <v>43.65</v>
      </c>
      <c r="U30" s="9">
        <v>65.53</v>
      </c>
    </row>
    <row r="31" spans="1:21" ht="12.75" outlineLevel="1">
      <c r="A31" s="1">
        <f t="shared" si="0"/>
        <v>25</v>
      </c>
      <c r="B31" s="4" t="s">
        <v>45</v>
      </c>
      <c r="C31" s="8">
        <v>146.8</v>
      </c>
      <c r="D31" s="9">
        <v>134.6</v>
      </c>
      <c r="E31" s="10">
        <v>100.5</v>
      </c>
      <c r="F31" s="9">
        <v>79.3</v>
      </c>
      <c r="G31" s="10">
        <v>76.55</v>
      </c>
      <c r="H31" s="9">
        <v>70.61</v>
      </c>
      <c r="I31" s="10">
        <v>67.86</v>
      </c>
      <c r="J31" s="9">
        <v>103.9</v>
      </c>
      <c r="K31" s="9">
        <v>93.93</v>
      </c>
      <c r="L31" s="10">
        <v>91.18</v>
      </c>
      <c r="M31" s="9">
        <v>93.65</v>
      </c>
      <c r="N31" s="10">
        <v>108.1</v>
      </c>
      <c r="O31" s="9">
        <v>62.99</v>
      </c>
      <c r="P31" s="9">
        <v>51.22</v>
      </c>
      <c r="Q31" s="9">
        <v>48.47</v>
      </c>
      <c r="R31" s="10">
        <v>45.71</v>
      </c>
      <c r="S31" s="9">
        <v>42.96</v>
      </c>
      <c r="T31" s="10">
        <v>44.98</v>
      </c>
      <c r="U31" s="9">
        <v>66.85</v>
      </c>
    </row>
    <row r="32" spans="1:21" ht="12.75" outlineLevel="1">
      <c r="A32" s="1">
        <f t="shared" si="0"/>
        <v>26</v>
      </c>
      <c r="B32" s="4" t="s">
        <v>46</v>
      </c>
      <c r="C32" s="8">
        <v>146.7</v>
      </c>
      <c r="D32" s="9">
        <v>131.3</v>
      </c>
      <c r="E32" s="10">
        <v>97.9</v>
      </c>
      <c r="F32" s="9">
        <v>76</v>
      </c>
      <c r="G32" s="10">
        <v>73.25</v>
      </c>
      <c r="H32" s="9">
        <v>67.69</v>
      </c>
      <c r="I32" s="10">
        <v>64.94</v>
      </c>
      <c r="J32" s="9">
        <v>100.8</v>
      </c>
      <c r="K32" s="9">
        <v>90.83</v>
      </c>
      <c r="L32" s="10">
        <v>88.08</v>
      </c>
      <c r="M32" s="9">
        <v>89.65</v>
      </c>
      <c r="N32" s="10">
        <v>102.9</v>
      </c>
      <c r="O32" s="9">
        <v>58.9</v>
      </c>
      <c r="P32" s="9">
        <v>46.97</v>
      </c>
      <c r="Q32" s="9">
        <v>44.22</v>
      </c>
      <c r="R32" s="10">
        <v>41.95</v>
      </c>
      <c r="S32" s="9">
        <v>39.2</v>
      </c>
      <c r="T32" s="10">
        <v>44.66</v>
      </c>
      <c r="U32" s="9">
        <v>66.53</v>
      </c>
    </row>
    <row r="33" spans="1:21" ht="12.75" outlineLevel="1">
      <c r="A33" s="1">
        <f t="shared" si="0"/>
        <v>27</v>
      </c>
      <c r="B33" s="4" t="s">
        <v>47</v>
      </c>
      <c r="C33" s="8">
        <v>149.9</v>
      </c>
      <c r="D33" s="9">
        <v>134.9</v>
      </c>
      <c r="E33" s="10">
        <v>100.3</v>
      </c>
      <c r="F33" s="9">
        <v>78.42</v>
      </c>
      <c r="G33" s="10">
        <v>75.67</v>
      </c>
      <c r="H33" s="9">
        <v>69.83</v>
      </c>
      <c r="I33" s="10">
        <v>67.08</v>
      </c>
      <c r="J33" s="9">
        <v>103.2</v>
      </c>
      <c r="K33" s="9">
        <v>93.26</v>
      </c>
      <c r="L33" s="10">
        <v>90.51</v>
      </c>
      <c r="M33" s="9">
        <v>90.36</v>
      </c>
      <c r="N33" s="10">
        <v>104.4</v>
      </c>
      <c r="O33" s="9">
        <v>60.18</v>
      </c>
      <c r="P33" s="9">
        <v>48.23</v>
      </c>
      <c r="Q33" s="9">
        <v>45.48</v>
      </c>
      <c r="R33" s="10">
        <v>43.07</v>
      </c>
      <c r="S33" s="9">
        <v>40.32</v>
      </c>
      <c r="T33" s="10">
        <v>45.94</v>
      </c>
      <c r="U33" s="9">
        <v>67.81</v>
      </c>
    </row>
    <row r="34" spans="1:21" ht="12.75" outlineLevel="1">
      <c r="A34" s="1">
        <f t="shared" si="0"/>
        <v>28</v>
      </c>
      <c r="B34" s="4" t="s">
        <v>48</v>
      </c>
      <c r="C34" s="8">
        <v>150.9</v>
      </c>
      <c r="D34" s="9">
        <v>139.5</v>
      </c>
      <c r="E34" s="10">
        <v>101.7</v>
      </c>
      <c r="F34" s="9">
        <v>79.83</v>
      </c>
      <c r="G34" s="10">
        <v>77.08</v>
      </c>
      <c r="H34" s="9">
        <v>71.08</v>
      </c>
      <c r="I34" s="10">
        <v>68.33</v>
      </c>
      <c r="J34" s="9">
        <v>104.6</v>
      </c>
      <c r="K34" s="9">
        <v>94.68</v>
      </c>
      <c r="L34" s="10">
        <v>91.93</v>
      </c>
      <c r="M34" s="9">
        <v>93.44</v>
      </c>
      <c r="N34" s="10">
        <v>107.5</v>
      </c>
      <c r="O34" s="9">
        <v>61.67</v>
      </c>
      <c r="P34" s="9">
        <v>49.74</v>
      </c>
      <c r="Q34" s="9">
        <v>46.99</v>
      </c>
      <c r="R34" s="10">
        <v>44.4</v>
      </c>
      <c r="S34" s="9">
        <v>41.65</v>
      </c>
      <c r="T34" s="10">
        <v>47.11</v>
      </c>
      <c r="U34" s="9">
        <v>68.98</v>
      </c>
    </row>
    <row r="35" spans="1:21" ht="12.75" outlineLevel="1">
      <c r="A35" s="1">
        <f t="shared" si="0"/>
        <v>29</v>
      </c>
      <c r="B35" s="4" t="s">
        <v>49</v>
      </c>
      <c r="C35" s="8">
        <v>149.8</v>
      </c>
      <c r="D35" s="9">
        <v>137.9</v>
      </c>
      <c r="E35" s="10">
        <v>100.7</v>
      </c>
      <c r="F35" s="9">
        <v>78.27</v>
      </c>
      <c r="G35" s="10">
        <v>75.52</v>
      </c>
      <c r="H35" s="9">
        <v>69.7</v>
      </c>
      <c r="I35" s="10">
        <v>66.95</v>
      </c>
      <c r="J35" s="9">
        <v>103.1</v>
      </c>
      <c r="K35" s="9">
        <v>93.12</v>
      </c>
      <c r="L35" s="10">
        <v>90.37</v>
      </c>
      <c r="M35" s="9">
        <v>92.38</v>
      </c>
      <c r="N35" s="10">
        <v>106.4</v>
      </c>
      <c r="O35" s="9">
        <v>62.75</v>
      </c>
      <c r="P35" s="9">
        <v>50.82</v>
      </c>
      <c r="Q35" s="9">
        <v>48.07</v>
      </c>
      <c r="R35" s="10">
        <v>45.36</v>
      </c>
      <c r="S35" s="9">
        <v>42.61</v>
      </c>
      <c r="T35" s="10">
        <v>47.47</v>
      </c>
      <c r="U35" s="9">
        <v>69.34</v>
      </c>
    </row>
    <row r="36" spans="1:21" ht="12.75" outlineLevel="1">
      <c r="A36" s="1">
        <f t="shared" si="0"/>
        <v>30</v>
      </c>
      <c r="B36" s="4" t="s">
        <v>50</v>
      </c>
      <c r="C36" s="8">
        <v>154.3</v>
      </c>
      <c r="D36" s="9">
        <v>141</v>
      </c>
      <c r="E36" s="10">
        <v>101.6</v>
      </c>
      <c r="F36" s="9">
        <v>78.48</v>
      </c>
      <c r="G36" s="10">
        <v>75.73</v>
      </c>
      <c r="H36" s="9">
        <v>69.88</v>
      </c>
      <c r="I36" s="10">
        <v>67.13</v>
      </c>
      <c r="J36" s="9">
        <v>104</v>
      </c>
      <c r="K36" s="9">
        <v>93.32</v>
      </c>
      <c r="L36" s="10">
        <v>90.57</v>
      </c>
      <c r="M36" s="9">
        <v>96.63</v>
      </c>
      <c r="N36" s="10">
        <v>110.7</v>
      </c>
      <c r="O36" s="9">
        <v>63.85</v>
      </c>
      <c r="P36" s="9">
        <v>51.91</v>
      </c>
      <c r="Q36" s="9">
        <v>49.16</v>
      </c>
      <c r="R36" s="10">
        <v>46.32</v>
      </c>
      <c r="S36" s="9">
        <v>43.57</v>
      </c>
      <c r="T36" s="10">
        <v>48.85</v>
      </c>
      <c r="U36" s="9">
        <v>70.72</v>
      </c>
    </row>
    <row r="37" spans="1:21" ht="12.75" outlineLevel="1">
      <c r="A37" s="1">
        <f t="shared" si="0"/>
        <v>31</v>
      </c>
      <c r="B37" s="4" t="s">
        <v>51</v>
      </c>
      <c r="C37" s="8">
        <v>157.5</v>
      </c>
      <c r="D37" s="9">
        <v>141.7</v>
      </c>
      <c r="E37" s="10">
        <v>101.8</v>
      </c>
      <c r="F37" s="9">
        <v>78.65</v>
      </c>
      <c r="G37" s="10">
        <v>75.9</v>
      </c>
      <c r="H37" s="9">
        <v>70.03</v>
      </c>
      <c r="I37" s="10">
        <v>67.28</v>
      </c>
      <c r="J37" s="9">
        <v>104.2</v>
      </c>
      <c r="K37" s="9">
        <v>93.49</v>
      </c>
      <c r="L37" s="10">
        <v>90.74</v>
      </c>
      <c r="M37" s="9">
        <v>95.27</v>
      </c>
      <c r="N37" s="10">
        <v>108.8</v>
      </c>
      <c r="O37" s="9">
        <v>63.67</v>
      </c>
      <c r="P37" s="9">
        <v>51.73</v>
      </c>
      <c r="Q37" s="9">
        <v>48.98</v>
      </c>
      <c r="R37" s="10">
        <v>46.16</v>
      </c>
      <c r="S37" s="9">
        <v>43.41</v>
      </c>
      <c r="T37" s="10">
        <v>49.33</v>
      </c>
      <c r="U37" s="9">
        <v>71.2</v>
      </c>
    </row>
    <row r="38" spans="1:21" ht="12.75" outlineLevel="1">
      <c r="A38" s="1">
        <f t="shared" si="0"/>
        <v>32</v>
      </c>
      <c r="B38" s="4" t="s">
        <v>52</v>
      </c>
      <c r="C38" s="8">
        <v>161.2</v>
      </c>
      <c r="D38" s="9">
        <v>142</v>
      </c>
      <c r="E38" s="10">
        <v>104.8</v>
      </c>
      <c r="F38" s="9">
        <v>81.68</v>
      </c>
      <c r="G38" s="10">
        <v>78.93</v>
      </c>
      <c r="H38" s="9">
        <v>72.71</v>
      </c>
      <c r="I38" s="10">
        <v>69.96</v>
      </c>
      <c r="J38" s="9">
        <v>107.2</v>
      </c>
      <c r="K38" s="9">
        <v>96.51</v>
      </c>
      <c r="L38" s="10">
        <v>93.76</v>
      </c>
      <c r="M38" s="9">
        <v>97.56</v>
      </c>
      <c r="N38" s="10">
        <v>111.1</v>
      </c>
      <c r="O38" s="9">
        <v>64.72</v>
      </c>
      <c r="P38" s="9">
        <v>52.78</v>
      </c>
      <c r="Q38" s="9">
        <v>50.03</v>
      </c>
      <c r="R38" s="10">
        <v>47.09</v>
      </c>
      <c r="S38" s="9">
        <v>44.34</v>
      </c>
      <c r="T38" s="10">
        <v>48.94</v>
      </c>
      <c r="U38" s="9">
        <v>70.81</v>
      </c>
    </row>
    <row r="39" spans="1:21" ht="12.75" outlineLevel="1">
      <c r="A39" s="1">
        <f t="shared" si="0"/>
        <v>33</v>
      </c>
      <c r="B39" s="4" t="s">
        <v>53</v>
      </c>
      <c r="C39" s="8">
        <v>154.5</v>
      </c>
      <c r="D39" s="9">
        <v>137.5</v>
      </c>
      <c r="E39" s="10">
        <v>106.6</v>
      </c>
      <c r="F39" s="9">
        <v>83.51</v>
      </c>
      <c r="G39" s="10">
        <v>80.76</v>
      </c>
      <c r="H39" s="9">
        <v>74.33</v>
      </c>
      <c r="I39" s="10">
        <v>71.58</v>
      </c>
      <c r="J39" s="9">
        <v>109</v>
      </c>
      <c r="K39" s="9">
        <v>98.34</v>
      </c>
      <c r="L39" s="10">
        <v>95.59</v>
      </c>
      <c r="M39" s="9">
        <v>96.64</v>
      </c>
      <c r="N39" s="10">
        <v>110.1</v>
      </c>
      <c r="O39" s="9">
        <v>65.3</v>
      </c>
      <c r="P39" s="9">
        <v>53.35</v>
      </c>
      <c r="Q39" s="9">
        <v>50.6</v>
      </c>
      <c r="R39" s="10">
        <v>47.6</v>
      </c>
      <c r="S39" s="9">
        <v>44.85</v>
      </c>
      <c r="T39" s="10">
        <v>49.33</v>
      </c>
      <c r="U39" s="9">
        <v>71.2</v>
      </c>
    </row>
    <row r="40" spans="1:21" ht="12.75" outlineLevel="1">
      <c r="A40" s="1">
        <f t="shared" si="0"/>
        <v>34</v>
      </c>
      <c r="B40" s="4" t="s">
        <v>54</v>
      </c>
      <c r="C40" s="8">
        <v>144.5</v>
      </c>
      <c r="D40" s="9">
        <v>129.2</v>
      </c>
      <c r="E40" s="10">
        <v>103.5</v>
      </c>
      <c r="F40" s="9">
        <v>80.38</v>
      </c>
      <c r="G40" s="10">
        <v>77.48</v>
      </c>
      <c r="H40" s="9">
        <v>71.58</v>
      </c>
      <c r="I40" s="10">
        <v>68.68</v>
      </c>
      <c r="J40" s="9">
        <v>105.9</v>
      </c>
      <c r="K40" s="9">
        <v>95.22</v>
      </c>
      <c r="L40" s="10">
        <v>92.32</v>
      </c>
      <c r="M40" s="9">
        <v>92.23</v>
      </c>
      <c r="N40" s="10">
        <v>105.9</v>
      </c>
      <c r="O40" s="9">
        <v>62.95</v>
      </c>
      <c r="P40" s="9">
        <v>51.02</v>
      </c>
      <c r="Q40" s="9">
        <v>48.12</v>
      </c>
      <c r="R40" s="10">
        <v>45.55</v>
      </c>
      <c r="S40" s="9">
        <v>42.65</v>
      </c>
      <c r="T40" s="10">
        <v>48.31</v>
      </c>
      <c r="U40" s="9">
        <v>70.18</v>
      </c>
    </row>
    <row r="41" spans="1:21" ht="12.75" outlineLevel="1">
      <c r="A41" s="1">
        <f t="shared" si="0"/>
        <v>35</v>
      </c>
      <c r="B41" s="4" t="s">
        <v>55</v>
      </c>
      <c r="C41" s="8">
        <v>139.3</v>
      </c>
      <c r="D41" s="9">
        <v>126.2</v>
      </c>
      <c r="E41" s="10">
        <v>104.1</v>
      </c>
      <c r="F41" s="9">
        <v>80.91</v>
      </c>
      <c r="G41" s="10">
        <v>78.01</v>
      </c>
      <c r="H41" s="9">
        <v>72.05</v>
      </c>
      <c r="I41" s="10">
        <v>69.15</v>
      </c>
      <c r="J41" s="9">
        <v>106.4</v>
      </c>
      <c r="K41" s="9">
        <v>95.75</v>
      </c>
      <c r="L41" s="10">
        <v>92.85</v>
      </c>
      <c r="M41" s="9">
        <v>93.96</v>
      </c>
      <c r="N41" s="10">
        <v>107.5</v>
      </c>
      <c r="O41" s="9">
        <v>63.32</v>
      </c>
      <c r="P41" s="9">
        <v>51.39</v>
      </c>
      <c r="Q41" s="9">
        <v>48.49</v>
      </c>
      <c r="R41" s="10">
        <v>45.88</v>
      </c>
      <c r="S41" s="9">
        <v>42.98</v>
      </c>
      <c r="T41" s="10">
        <v>48.18</v>
      </c>
      <c r="U41" s="9">
        <v>70.05</v>
      </c>
    </row>
    <row r="42" spans="1:21" ht="12.75" outlineLevel="1">
      <c r="A42" s="1">
        <f t="shared" si="0"/>
        <v>36</v>
      </c>
      <c r="B42" s="4" t="s">
        <v>56</v>
      </c>
      <c r="C42" s="8">
        <v>133.3</v>
      </c>
      <c r="D42" s="9">
        <v>122.3</v>
      </c>
      <c r="E42" s="10">
        <v>102.3</v>
      </c>
      <c r="F42" s="9">
        <v>79.16</v>
      </c>
      <c r="G42" s="10">
        <v>76.16</v>
      </c>
      <c r="H42" s="9">
        <v>70.51</v>
      </c>
      <c r="I42" s="10">
        <v>67.51</v>
      </c>
      <c r="J42" s="9">
        <v>104.7</v>
      </c>
      <c r="K42" s="9">
        <v>94</v>
      </c>
      <c r="L42" s="10">
        <v>91</v>
      </c>
      <c r="M42" s="9">
        <v>90.83</v>
      </c>
      <c r="N42" s="10">
        <v>104.7</v>
      </c>
      <c r="O42" s="9">
        <v>61.66</v>
      </c>
      <c r="P42" s="9">
        <v>49.73</v>
      </c>
      <c r="Q42" s="9">
        <v>46.73</v>
      </c>
      <c r="R42" s="10">
        <v>44.42</v>
      </c>
      <c r="S42" s="9">
        <v>41.42</v>
      </c>
      <c r="T42" s="10">
        <v>47.28</v>
      </c>
      <c r="U42" s="9">
        <v>69.15</v>
      </c>
    </row>
    <row r="43" spans="1:21" ht="12.75" outlineLevel="1">
      <c r="A43" s="1">
        <f t="shared" si="0"/>
        <v>37</v>
      </c>
      <c r="B43" s="4" t="s">
        <v>57</v>
      </c>
      <c r="C43" s="8">
        <v>131.6</v>
      </c>
      <c r="D43" s="9">
        <v>119.1</v>
      </c>
      <c r="E43" s="10">
        <v>100</v>
      </c>
      <c r="F43" s="9">
        <v>76.65</v>
      </c>
      <c r="G43" s="10">
        <v>73.65</v>
      </c>
      <c r="H43" s="9">
        <v>68.29</v>
      </c>
      <c r="I43" s="10">
        <v>65.29</v>
      </c>
      <c r="J43" s="9">
        <v>102.5</v>
      </c>
      <c r="K43" s="9">
        <v>91.76</v>
      </c>
      <c r="L43" s="10">
        <v>88.76</v>
      </c>
      <c r="M43" s="9">
        <v>88.57</v>
      </c>
      <c r="N43" s="10">
        <v>102.6</v>
      </c>
      <c r="O43" s="9">
        <v>61.4</v>
      </c>
      <c r="P43" s="9">
        <v>49.24</v>
      </c>
      <c r="Q43" s="9">
        <v>46.24</v>
      </c>
      <c r="R43" s="10">
        <v>43.99</v>
      </c>
      <c r="S43" s="9">
        <v>40.99</v>
      </c>
      <c r="T43" s="10">
        <v>47.36</v>
      </c>
      <c r="U43" s="9">
        <v>69.23</v>
      </c>
    </row>
    <row r="44" spans="1:21" ht="12.75" outlineLevel="1">
      <c r="A44" s="1">
        <f t="shared" si="0"/>
        <v>38</v>
      </c>
      <c r="B44" s="4" t="s">
        <v>58</v>
      </c>
      <c r="C44" s="8">
        <v>127.4</v>
      </c>
      <c r="D44" s="9">
        <v>116.3</v>
      </c>
      <c r="E44" s="10">
        <v>94.3</v>
      </c>
      <c r="F44" s="9">
        <v>70.93</v>
      </c>
      <c r="G44" s="10">
        <v>67.93</v>
      </c>
      <c r="H44" s="9">
        <v>62.26</v>
      </c>
      <c r="I44" s="10">
        <v>59.26</v>
      </c>
      <c r="J44" s="9">
        <v>97.3</v>
      </c>
      <c r="K44" s="9">
        <v>86.62</v>
      </c>
      <c r="L44" s="10">
        <v>83.62</v>
      </c>
      <c r="M44" s="9">
        <v>80.95</v>
      </c>
      <c r="N44" s="10">
        <v>94.9</v>
      </c>
      <c r="O44" s="9">
        <v>58.12</v>
      </c>
      <c r="P44" s="9">
        <v>45.96</v>
      </c>
      <c r="Q44" s="9">
        <v>42.96</v>
      </c>
      <c r="R44" s="10">
        <v>41.09</v>
      </c>
      <c r="S44" s="9">
        <v>38.09</v>
      </c>
      <c r="T44" s="10">
        <v>45.6</v>
      </c>
      <c r="U44" s="9">
        <v>67.47</v>
      </c>
    </row>
    <row r="45" spans="1:21" ht="12.75" outlineLevel="1">
      <c r="A45" s="1">
        <f t="shared" si="0"/>
        <v>39</v>
      </c>
      <c r="B45" s="4" t="s">
        <v>59</v>
      </c>
      <c r="C45" s="8">
        <v>126.6</v>
      </c>
      <c r="D45" s="9">
        <v>114</v>
      </c>
      <c r="E45" s="10">
        <v>92.4</v>
      </c>
      <c r="F45" s="9">
        <v>69.02</v>
      </c>
      <c r="G45" s="10">
        <v>66.02</v>
      </c>
      <c r="H45" s="9">
        <v>60.57</v>
      </c>
      <c r="I45" s="10">
        <v>57.57</v>
      </c>
      <c r="J45" s="9">
        <v>95.4</v>
      </c>
      <c r="K45" s="9">
        <v>84.72</v>
      </c>
      <c r="L45" s="10">
        <v>81.72</v>
      </c>
      <c r="M45" s="9">
        <v>79.42</v>
      </c>
      <c r="N45" s="10">
        <v>93.4</v>
      </c>
      <c r="O45" s="9">
        <v>55.6</v>
      </c>
      <c r="P45" s="9">
        <v>43.44</v>
      </c>
      <c r="Q45" s="9">
        <v>40.44</v>
      </c>
      <c r="R45" s="10">
        <v>38.86</v>
      </c>
      <c r="S45" s="9">
        <v>35.86</v>
      </c>
      <c r="T45" s="10">
        <v>44.38</v>
      </c>
      <c r="U45" s="9">
        <v>66.25</v>
      </c>
    </row>
    <row r="46" spans="1:21" ht="12.75" outlineLevel="1">
      <c r="A46" s="1">
        <f t="shared" si="0"/>
        <v>40</v>
      </c>
      <c r="B46" s="4" t="s">
        <v>60</v>
      </c>
      <c r="C46" s="8">
        <v>128.4</v>
      </c>
      <c r="D46" s="9">
        <v>115.1</v>
      </c>
      <c r="E46" s="10">
        <v>94.25</v>
      </c>
      <c r="F46" s="9">
        <v>70.85</v>
      </c>
      <c r="G46" s="10">
        <v>67.85</v>
      </c>
      <c r="H46" s="9">
        <v>62.19</v>
      </c>
      <c r="I46" s="10">
        <v>59.19</v>
      </c>
      <c r="J46" s="9">
        <v>97.25</v>
      </c>
      <c r="K46" s="9">
        <v>86.55</v>
      </c>
      <c r="L46" s="10">
        <v>83.55</v>
      </c>
      <c r="M46" s="9">
        <v>83.57</v>
      </c>
      <c r="N46" s="10">
        <v>97.4</v>
      </c>
      <c r="O46" s="9">
        <v>55.37</v>
      </c>
      <c r="P46" s="9">
        <v>43.21</v>
      </c>
      <c r="Q46" s="9">
        <v>40.21</v>
      </c>
      <c r="R46" s="10">
        <v>38.65</v>
      </c>
      <c r="S46" s="9">
        <v>35.65</v>
      </c>
      <c r="T46" s="10">
        <v>43.27</v>
      </c>
      <c r="U46" s="9">
        <v>65.14</v>
      </c>
    </row>
    <row r="47" spans="1:21" ht="12.75" outlineLevel="1">
      <c r="A47" s="1">
        <f t="shared" si="0"/>
        <v>41</v>
      </c>
      <c r="B47" s="4" t="s">
        <v>61</v>
      </c>
      <c r="C47" s="8">
        <v>130.5</v>
      </c>
      <c r="D47" s="9">
        <v>115.3</v>
      </c>
      <c r="E47" s="10">
        <v>93.9</v>
      </c>
      <c r="F47" s="9">
        <v>70.5</v>
      </c>
      <c r="G47" s="10">
        <v>67.5</v>
      </c>
      <c r="H47" s="9">
        <v>61.88</v>
      </c>
      <c r="I47" s="10">
        <v>58.88</v>
      </c>
      <c r="J47" s="9">
        <v>96.9</v>
      </c>
      <c r="K47" s="9">
        <v>86.2</v>
      </c>
      <c r="L47" s="10">
        <v>83.2</v>
      </c>
      <c r="M47" s="9">
        <v>81.47</v>
      </c>
      <c r="N47" s="10">
        <v>95.3</v>
      </c>
      <c r="O47" s="9">
        <v>55.09</v>
      </c>
      <c r="P47" s="9">
        <v>42.92</v>
      </c>
      <c r="Q47" s="9">
        <v>39.92</v>
      </c>
      <c r="R47" s="10">
        <v>38.4</v>
      </c>
      <c r="S47" s="9">
        <v>35.4</v>
      </c>
      <c r="T47" s="10">
        <v>42.88</v>
      </c>
      <c r="U47" s="9">
        <v>64.75</v>
      </c>
    </row>
    <row r="48" spans="1:21" ht="12.75" outlineLevel="1">
      <c r="A48" s="1">
        <f t="shared" si="0"/>
        <v>42</v>
      </c>
      <c r="B48" s="4" t="s">
        <v>62</v>
      </c>
      <c r="C48" s="8">
        <v>127</v>
      </c>
      <c r="D48" s="9">
        <v>115.2</v>
      </c>
      <c r="E48" s="10">
        <v>94.9</v>
      </c>
      <c r="F48" s="9">
        <v>71.52</v>
      </c>
      <c r="G48" s="10">
        <v>68.52</v>
      </c>
      <c r="H48" s="9">
        <v>62.79</v>
      </c>
      <c r="I48" s="10">
        <v>59.79</v>
      </c>
      <c r="J48" s="9">
        <v>97.9</v>
      </c>
      <c r="K48" s="9">
        <v>87.23</v>
      </c>
      <c r="L48" s="10">
        <v>84.23</v>
      </c>
      <c r="M48" s="9">
        <v>82.79</v>
      </c>
      <c r="N48" s="10">
        <v>96.6</v>
      </c>
      <c r="O48" s="9">
        <v>55.77</v>
      </c>
      <c r="P48" s="9">
        <v>43.6</v>
      </c>
      <c r="Q48" s="9">
        <v>40.6</v>
      </c>
      <c r="R48" s="10">
        <v>39</v>
      </c>
      <c r="S48" s="9">
        <v>36</v>
      </c>
      <c r="T48" s="10">
        <v>43.77</v>
      </c>
      <c r="U48" s="9">
        <v>65.64</v>
      </c>
    </row>
    <row r="49" spans="1:21" ht="12.75" outlineLevel="1">
      <c r="A49" s="1">
        <f t="shared" si="0"/>
        <v>43</v>
      </c>
      <c r="B49" s="4" t="s">
        <v>63</v>
      </c>
      <c r="C49" s="8">
        <v>126.9</v>
      </c>
      <c r="D49" s="9">
        <v>115.1</v>
      </c>
      <c r="E49" s="10">
        <v>96.6</v>
      </c>
      <c r="F49" s="9">
        <v>73.23</v>
      </c>
      <c r="G49" s="10">
        <v>70.23</v>
      </c>
      <c r="H49" s="9">
        <v>64.3</v>
      </c>
      <c r="I49" s="10">
        <v>61.3</v>
      </c>
      <c r="J49" s="9">
        <v>99.6</v>
      </c>
      <c r="K49" s="9">
        <v>88.92</v>
      </c>
      <c r="L49" s="10">
        <v>85.92</v>
      </c>
      <c r="M49" s="9">
        <v>82.46</v>
      </c>
      <c r="N49" s="10">
        <v>96.3</v>
      </c>
      <c r="O49" s="9">
        <v>57.57</v>
      </c>
      <c r="P49" s="9">
        <v>45.42</v>
      </c>
      <c r="Q49" s="9">
        <v>42.42</v>
      </c>
      <c r="R49" s="10">
        <v>40.61</v>
      </c>
      <c r="S49" s="9">
        <v>37.61</v>
      </c>
      <c r="T49" s="10">
        <v>43.24</v>
      </c>
      <c r="U49" s="9">
        <v>65.11</v>
      </c>
    </row>
    <row r="50" spans="1:21" ht="12.75" outlineLevel="1">
      <c r="A50" s="1">
        <f t="shared" si="0"/>
        <v>44</v>
      </c>
      <c r="B50" s="4" t="s">
        <v>64</v>
      </c>
      <c r="C50" s="8">
        <v>127.8</v>
      </c>
      <c r="D50" s="9">
        <v>116.2</v>
      </c>
      <c r="E50" s="10">
        <v>96</v>
      </c>
      <c r="F50" s="9">
        <v>72.57</v>
      </c>
      <c r="G50" s="10">
        <v>69.57</v>
      </c>
      <c r="H50" s="9">
        <v>63.72</v>
      </c>
      <c r="I50" s="10">
        <v>60.72</v>
      </c>
      <c r="J50" s="9">
        <v>99</v>
      </c>
      <c r="K50" s="9">
        <v>88.27</v>
      </c>
      <c r="L50" s="10">
        <v>85.27</v>
      </c>
      <c r="M50" s="9">
        <v>81.05</v>
      </c>
      <c r="N50" s="10">
        <v>94.9</v>
      </c>
      <c r="O50" s="9">
        <v>57.29</v>
      </c>
      <c r="P50" s="9">
        <v>45.14</v>
      </c>
      <c r="Q50" s="9">
        <v>42.14</v>
      </c>
      <c r="R50" s="10">
        <v>40.36</v>
      </c>
      <c r="S50" s="9">
        <v>37.36</v>
      </c>
      <c r="T50" s="10">
        <v>41.77</v>
      </c>
      <c r="U50" s="9">
        <v>63.64</v>
      </c>
    </row>
    <row r="51" spans="1:21" ht="12.75" outlineLevel="1">
      <c r="A51" s="1">
        <f t="shared" si="0"/>
        <v>45</v>
      </c>
      <c r="B51" s="4" t="s">
        <v>66</v>
      </c>
      <c r="C51" s="8">
        <v>128.3</v>
      </c>
      <c r="D51" s="9">
        <v>115</v>
      </c>
      <c r="E51" s="10">
        <v>93.3</v>
      </c>
      <c r="F51" s="9">
        <v>69.89</v>
      </c>
      <c r="G51" s="10">
        <v>66.89</v>
      </c>
      <c r="H51" s="9">
        <v>61.34</v>
      </c>
      <c r="I51" s="10">
        <v>58.34</v>
      </c>
      <c r="J51" s="9">
        <v>96.3</v>
      </c>
      <c r="K51" s="9">
        <v>85.59</v>
      </c>
      <c r="L51" s="10">
        <v>82.59</v>
      </c>
      <c r="M51" s="9">
        <v>78.18</v>
      </c>
      <c r="N51" s="10">
        <v>92.1</v>
      </c>
      <c r="O51" s="9">
        <v>56.22</v>
      </c>
      <c r="P51" s="9">
        <v>44.07</v>
      </c>
      <c r="Q51" s="9">
        <v>41.07</v>
      </c>
      <c r="R51" s="10">
        <v>39.41</v>
      </c>
      <c r="S51" s="9">
        <v>36.41</v>
      </c>
      <c r="T51" s="10">
        <v>41.29</v>
      </c>
      <c r="U51" s="9">
        <v>63.16</v>
      </c>
    </row>
    <row r="52" spans="1:21" ht="12.75" outlineLevel="1">
      <c r="A52" s="1">
        <f t="shared" si="0"/>
        <v>46</v>
      </c>
      <c r="B52" s="4" t="s">
        <v>67</v>
      </c>
      <c r="C52" s="8">
        <v>131.5</v>
      </c>
      <c r="D52" s="9">
        <v>118.2</v>
      </c>
      <c r="E52" s="10">
        <v>96.1</v>
      </c>
      <c r="F52" s="9">
        <v>72.7</v>
      </c>
      <c r="G52" s="10">
        <v>69.7</v>
      </c>
      <c r="H52" s="9">
        <v>63.83</v>
      </c>
      <c r="I52" s="10">
        <v>60.83</v>
      </c>
      <c r="J52" s="9">
        <v>99.1</v>
      </c>
      <c r="K52" s="9">
        <v>88.4</v>
      </c>
      <c r="L52" s="10">
        <v>85.4</v>
      </c>
      <c r="M52" s="9">
        <v>80.71</v>
      </c>
      <c r="N52" s="10">
        <v>94.6</v>
      </c>
      <c r="O52" s="9">
        <v>56.74</v>
      </c>
      <c r="P52" s="9">
        <v>44.59</v>
      </c>
      <c r="Q52" s="9">
        <v>41.59</v>
      </c>
      <c r="R52" s="10">
        <v>39.87</v>
      </c>
      <c r="S52" s="9">
        <v>36.87</v>
      </c>
      <c r="T52" s="10">
        <v>42.37</v>
      </c>
      <c r="U52" s="9">
        <v>64.24</v>
      </c>
    </row>
    <row r="53" spans="1:21" ht="12.75" outlineLevel="1">
      <c r="A53" s="1">
        <f t="shared" si="0"/>
        <v>47</v>
      </c>
      <c r="B53" s="4" t="s">
        <v>68</v>
      </c>
      <c r="C53" s="8">
        <v>132</v>
      </c>
      <c r="D53" s="9">
        <v>117.7</v>
      </c>
      <c r="E53" s="10">
        <v>94</v>
      </c>
      <c r="F53" s="9">
        <v>70.67</v>
      </c>
      <c r="G53" s="10">
        <v>67.67</v>
      </c>
      <c r="H53" s="9">
        <v>62.03</v>
      </c>
      <c r="I53" s="10">
        <v>59.03</v>
      </c>
      <c r="J53" s="9">
        <v>97.1</v>
      </c>
      <c r="K53" s="9">
        <v>86.37</v>
      </c>
      <c r="L53" s="10">
        <v>83.37</v>
      </c>
      <c r="M53" s="9">
        <v>80.01</v>
      </c>
      <c r="N53" s="10">
        <v>93.9</v>
      </c>
      <c r="O53" s="9">
        <v>56.15</v>
      </c>
      <c r="P53" s="9">
        <v>43.99</v>
      </c>
      <c r="Q53" s="9">
        <v>40.99</v>
      </c>
      <c r="R53" s="10">
        <v>39.34</v>
      </c>
      <c r="S53" s="9">
        <v>36.34</v>
      </c>
      <c r="T53" s="10">
        <v>43.37</v>
      </c>
      <c r="U53" s="9">
        <v>65.24</v>
      </c>
    </row>
    <row r="54" spans="1:21" ht="12.75" outlineLevel="1">
      <c r="A54" s="1">
        <f t="shared" si="0"/>
        <v>48</v>
      </c>
      <c r="B54" s="4" t="s">
        <v>69</v>
      </c>
      <c r="C54" s="8">
        <v>131.3</v>
      </c>
      <c r="D54" s="9">
        <v>118</v>
      </c>
      <c r="E54" s="10">
        <v>95.7</v>
      </c>
      <c r="F54" s="9">
        <v>72.33</v>
      </c>
      <c r="G54" s="10">
        <v>69.33</v>
      </c>
      <c r="H54" s="9">
        <v>63.5</v>
      </c>
      <c r="I54" s="10">
        <v>60.5</v>
      </c>
      <c r="J54" s="9">
        <v>98.7</v>
      </c>
      <c r="K54" s="9">
        <v>88.02</v>
      </c>
      <c r="L54" s="10">
        <v>85.02</v>
      </c>
      <c r="M54" s="9">
        <v>82.27</v>
      </c>
      <c r="N54" s="10">
        <v>96.1</v>
      </c>
      <c r="O54" s="9">
        <v>55.6</v>
      </c>
      <c r="P54" s="9">
        <v>43.43</v>
      </c>
      <c r="Q54" s="9">
        <v>40.43</v>
      </c>
      <c r="R54" s="10">
        <v>38.85</v>
      </c>
      <c r="S54" s="9">
        <v>35.85</v>
      </c>
      <c r="T54" s="10">
        <v>42.66</v>
      </c>
      <c r="U54" s="9">
        <v>64.53</v>
      </c>
    </row>
    <row r="55" spans="1:21" ht="12.75" outlineLevel="1">
      <c r="A55" s="1">
        <f t="shared" si="0"/>
        <v>49</v>
      </c>
      <c r="B55" s="4" t="s">
        <v>70</v>
      </c>
      <c r="C55" s="8">
        <v>132.7</v>
      </c>
      <c r="D55" s="9">
        <v>120</v>
      </c>
      <c r="E55" s="10">
        <v>98</v>
      </c>
      <c r="F55" s="9">
        <v>74.62</v>
      </c>
      <c r="G55" s="10">
        <v>71.62</v>
      </c>
      <c r="H55" s="9">
        <v>65.09</v>
      </c>
      <c r="I55" s="10">
        <v>62.09</v>
      </c>
      <c r="J55" s="9">
        <v>101</v>
      </c>
      <c r="K55" s="9">
        <v>90.31</v>
      </c>
      <c r="L55" s="10">
        <v>87.31</v>
      </c>
      <c r="M55" s="9">
        <v>84.77</v>
      </c>
      <c r="N55" s="10">
        <v>99</v>
      </c>
      <c r="O55" s="9">
        <v>55.58</v>
      </c>
      <c r="P55" s="9">
        <v>43.43</v>
      </c>
      <c r="Q55" s="9">
        <v>40.43</v>
      </c>
      <c r="R55" s="10">
        <v>38.85</v>
      </c>
      <c r="S55" s="9">
        <v>35.85</v>
      </c>
      <c r="T55" s="10">
        <v>43.2</v>
      </c>
      <c r="U55" s="9">
        <v>65.07</v>
      </c>
    </row>
    <row r="56" spans="1:21" ht="12.75" outlineLevel="1">
      <c r="A56" s="1">
        <f t="shared" si="0"/>
        <v>50</v>
      </c>
      <c r="B56" s="4" t="s">
        <v>71</v>
      </c>
      <c r="C56" s="8">
        <v>132</v>
      </c>
      <c r="D56" s="9">
        <v>118.9</v>
      </c>
      <c r="E56" s="10">
        <v>99.2</v>
      </c>
      <c r="F56" s="9">
        <v>75.79</v>
      </c>
      <c r="G56" s="10">
        <v>72.79</v>
      </c>
      <c r="H56" s="9">
        <v>65.6</v>
      </c>
      <c r="I56" s="10">
        <v>62.6</v>
      </c>
      <c r="J56" s="9">
        <v>102.8</v>
      </c>
      <c r="K56" s="9">
        <v>92.05</v>
      </c>
      <c r="L56" s="10">
        <v>89.05</v>
      </c>
      <c r="M56" s="9">
        <v>86.57</v>
      </c>
      <c r="N56" s="10">
        <v>100.8</v>
      </c>
      <c r="O56" s="9">
        <v>55.93</v>
      </c>
      <c r="P56" s="9">
        <v>43.77</v>
      </c>
      <c r="Q56" s="9">
        <v>40.77</v>
      </c>
      <c r="R56" s="10">
        <v>39.15</v>
      </c>
      <c r="S56" s="9">
        <v>36.15</v>
      </c>
      <c r="T56" s="10">
        <v>44.01</v>
      </c>
      <c r="U56" s="9">
        <v>65.88</v>
      </c>
    </row>
    <row r="57" spans="1:21" ht="12.75" outlineLevel="1">
      <c r="A57" s="1">
        <f t="shared" si="0"/>
        <v>51</v>
      </c>
      <c r="B57" s="4" t="s">
        <v>72</v>
      </c>
      <c r="C57" s="8">
        <v>130</v>
      </c>
      <c r="D57" s="9">
        <v>117.9</v>
      </c>
      <c r="E57" s="10">
        <v>97.2</v>
      </c>
      <c r="F57" s="9">
        <v>73.85</v>
      </c>
      <c r="G57" s="10">
        <v>70.85</v>
      </c>
      <c r="H57" s="9">
        <v>63.88</v>
      </c>
      <c r="I57" s="10">
        <v>60.88</v>
      </c>
      <c r="J57" s="9">
        <v>100.9</v>
      </c>
      <c r="K57" s="9">
        <v>90.11</v>
      </c>
      <c r="L57" s="10">
        <v>87.11</v>
      </c>
      <c r="M57" s="9">
        <v>83.66</v>
      </c>
      <c r="N57" s="10">
        <v>97.9</v>
      </c>
      <c r="O57" s="9">
        <v>54.97</v>
      </c>
      <c r="P57" s="9">
        <v>42.81</v>
      </c>
      <c r="Q57" s="9">
        <v>39.81</v>
      </c>
      <c r="R57" s="10">
        <v>38.3</v>
      </c>
      <c r="S57" s="9">
        <v>35.3</v>
      </c>
      <c r="T57" s="10">
        <v>43.01</v>
      </c>
      <c r="U57" s="9">
        <v>64.88</v>
      </c>
    </row>
    <row r="58" spans="1:21" ht="12.75" outlineLevel="1">
      <c r="A58" s="1">
        <f t="shared" si="0"/>
        <v>52</v>
      </c>
      <c r="B58" s="4" t="s">
        <v>73</v>
      </c>
      <c r="C58" s="11">
        <v>132.7</v>
      </c>
      <c r="D58" s="12">
        <v>120.7</v>
      </c>
      <c r="E58" s="13">
        <v>96.6</v>
      </c>
      <c r="F58" s="12">
        <v>73.2</v>
      </c>
      <c r="G58" s="13">
        <v>70.2</v>
      </c>
      <c r="H58" s="12">
        <v>63.31</v>
      </c>
      <c r="I58" s="13">
        <v>60.31</v>
      </c>
      <c r="J58" s="12">
        <v>100.2</v>
      </c>
      <c r="K58" s="12">
        <v>89.46</v>
      </c>
      <c r="L58" s="13">
        <v>86.46</v>
      </c>
      <c r="M58" s="12">
        <v>82.76</v>
      </c>
      <c r="N58" s="13">
        <v>97.1</v>
      </c>
      <c r="O58" s="12">
        <v>55.11</v>
      </c>
      <c r="P58" s="12">
        <v>42.96</v>
      </c>
      <c r="Q58" s="12">
        <v>39.96</v>
      </c>
      <c r="R58" s="13">
        <v>38.43</v>
      </c>
      <c r="S58" s="12">
        <v>35.43</v>
      </c>
      <c r="T58" s="13">
        <v>42.52</v>
      </c>
      <c r="U58" s="12">
        <v>64.39</v>
      </c>
    </row>
    <row r="59" spans="2:21" ht="13.5" thickBot="1">
      <c r="B59" s="2" t="s">
        <v>65</v>
      </c>
      <c r="C59" s="16">
        <f>SUM(C7:C58)/52</f>
        <v>137.01346153846154</v>
      </c>
      <c r="D59" s="16">
        <f aca="true" t="shared" si="1" ref="D59:U59">SUM(D7:D58)/52</f>
        <v>124.11923076923078</v>
      </c>
      <c r="E59" s="16">
        <f t="shared" si="1"/>
        <v>97.67403846153849</v>
      </c>
      <c r="F59" s="16">
        <f t="shared" si="1"/>
        <v>78.28576923076922</v>
      </c>
      <c r="G59" s="16">
        <f t="shared" si="1"/>
        <v>75.44826923076921</v>
      </c>
      <c r="H59" s="16">
        <f t="shared" si="1"/>
        <v>68.54365384615386</v>
      </c>
      <c r="I59" s="16">
        <f t="shared" si="1"/>
        <v>65.70615384615385</v>
      </c>
      <c r="J59" s="16">
        <f t="shared" si="1"/>
        <v>100.94711538461539</v>
      </c>
      <c r="K59" s="16">
        <f t="shared" si="1"/>
        <v>91.15403846153848</v>
      </c>
      <c r="L59" s="16">
        <f t="shared" si="1"/>
        <v>88.3165384615385</v>
      </c>
      <c r="M59" s="16">
        <f t="shared" si="1"/>
        <v>87.7396153846154</v>
      </c>
      <c r="N59" s="16">
        <f t="shared" si="1"/>
        <v>101.16346153846156</v>
      </c>
      <c r="O59" s="16">
        <f t="shared" si="1"/>
        <v>61.537692307692296</v>
      </c>
      <c r="P59" s="16">
        <f t="shared" si="1"/>
        <v>51.80538461538461</v>
      </c>
      <c r="Q59" s="16">
        <f t="shared" si="1"/>
        <v>48.967884615384605</v>
      </c>
      <c r="R59" s="16">
        <f t="shared" si="1"/>
        <v>45.07115384615384</v>
      </c>
      <c r="S59" s="16">
        <f t="shared" si="1"/>
        <v>42.23365384615384</v>
      </c>
      <c r="T59" s="16">
        <f t="shared" si="1"/>
        <v>43.34096153846153</v>
      </c>
      <c r="U59" s="16">
        <f t="shared" si="1"/>
        <v>65.15115384615385</v>
      </c>
    </row>
    <row r="60" ht="13.5" thickTop="1"/>
  </sheetData>
  <sheetProtection/>
  <mergeCells count="4">
    <mergeCell ref="C5:U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11.421875" defaultRowHeight="12.75"/>
  <cols>
    <col min="1" max="1" width="3.00390625" style="0" bestFit="1" customWidth="1"/>
    <col min="2" max="2" width="25.8515625" style="0" customWidth="1"/>
    <col min="3" max="4" width="9.28125" style="0" bestFit="1" customWidth="1"/>
    <col min="5" max="5" width="8.7109375" style="0" bestFit="1" customWidth="1"/>
    <col min="6" max="6" width="9.7109375" style="0" bestFit="1" customWidth="1"/>
    <col min="7" max="7" width="9.57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8.57421875" style="0" customWidth="1"/>
    <col min="17" max="17" width="9.28125" style="0" customWidth="1"/>
    <col min="18" max="18" width="7.7109375" style="0" bestFit="1" customWidth="1"/>
    <col min="19" max="19" width="7.57421875" style="0" customWidth="1"/>
    <col min="20" max="21" width="5.57421875" style="0" bestFit="1" customWidth="1"/>
  </cols>
  <sheetData>
    <row r="1" spans="1:21" ht="18">
      <c r="A1" s="131" t="s">
        <v>289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180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1" ht="45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</row>
    <row r="7" spans="1:21" ht="12.75">
      <c r="A7" s="1">
        <f>1</f>
        <v>1</v>
      </c>
      <c r="B7" s="3" t="s">
        <v>182</v>
      </c>
      <c r="C7" s="5">
        <f>131.8-1.81</f>
        <v>129.99</v>
      </c>
      <c r="D7" s="5">
        <f>119.9-1.83</f>
        <v>118.07000000000001</v>
      </c>
      <c r="E7" s="5">
        <f>96.2-0.86</f>
        <v>95.34</v>
      </c>
      <c r="F7" s="5">
        <v>72.84</v>
      </c>
      <c r="G7" s="5">
        <v>69.84</v>
      </c>
      <c r="H7" s="5">
        <v>62.99</v>
      </c>
      <c r="I7" s="5">
        <v>59.99</v>
      </c>
      <c r="J7" s="5">
        <f>99.8-0.87</f>
        <v>98.92999999999999</v>
      </c>
      <c r="K7" s="5">
        <v>89.14</v>
      </c>
      <c r="L7" s="5">
        <v>86.14</v>
      </c>
      <c r="M7" s="5">
        <v>82.24</v>
      </c>
      <c r="N7" s="5">
        <v>96.8</v>
      </c>
      <c r="O7" s="5">
        <v>55.49</v>
      </c>
      <c r="P7" s="5">
        <v>43.34</v>
      </c>
      <c r="Q7" s="5">
        <v>40.34</v>
      </c>
      <c r="R7" s="5">
        <v>38.77</v>
      </c>
      <c r="S7" s="5">
        <v>35.77</v>
      </c>
      <c r="T7" s="5">
        <v>42.17</v>
      </c>
      <c r="U7" s="6">
        <v>64.04</v>
      </c>
    </row>
    <row r="8" spans="1:21" ht="12.75">
      <c r="A8" s="1">
        <f>A7+1</f>
        <v>2</v>
      </c>
      <c r="B8" s="4" t="s">
        <v>183</v>
      </c>
      <c r="C8" s="8">
        <v>130.5</v>
      </c>
      <c r="D8" s="8">
        <v>121.4</v>
      </c>
      <c r="E8" s="8">
        <v>96.9</v>
      </c>
      <c r="F8" s="8">
        <v>73.5</v>
      </c>
      <c r="G8" s="8">
        <v>70.5</v>
      </c>
      <c r="H8" s="8">
        <v>60.74</v>
      </c>
      <c r="I8" s="8">
        <v>57.74</v>
      </c>
      <c r="J8" s="8">
        <v>100.5</v>
      </c>
      <c r="K8" s="8">
        <v>89.77</v>
      </c>
      <c r="L8" s="8">
        <v>86.77</v>
      </c>
      <c r="M8" s="8">
        <v>82.49</v>
      </c>
      <c r="N8" s="8">
        <v>96.4</v>
      </c>
      <c r="O8" s="8">
        <v>55.5</v>
      </c>
      <c r="P8" s="8">
        <v>43.34</v>
      </c>
      <c r="Q8" s="8">
        <v>40.34</v>
      </c>
      <c r="R8" s="8">
        <v>37.86</v>
      </c>
      <c r="S8" s="8">
        <v>34.86</v>
      </c>
      <c r="T8" s="8">
        <v>42.56</v>
      </c>
      <c r="U8" s="9">
        <v>64.55</v>
      </c>
    </row>
    <row r="9" spans="1:21" ht="12.75">
      <c r="A9" s="1">
        <f aca="true" t="shared" si="0" ref="A9:A58">A8+1</f>
        <v>3</v>
      </c>
      <c r="B9" s="4" t="s">
        <v>181</v>
      </c>
      <c r="C9" s="8">
        <v>130.6</v>
      </c>
      <c r="D9" s="8">
        <v>119.8</v>
      </c>
      <c r="E9" s="8">
        <v>96.7</v>
      </c>
      <c r="F9" s="8">
        <v>73.29</v>
      </c>
      <c r="G9" s="8">
        <v>70.29</v>
      </c>
      <c r="H9" s="8">
        <v>59.27</v>
      </c>
      <c r="I9" s="8">
        <v>56.27</v>
      </c>
      <c r="J9" s="8">
        <v>100.3</v>
      </c>
      <c r="K9" s="8">
        <v>89.54</v>
      </c>
      <c r="L9" s="8">
        <v>86.54</v>
      </c>
      <c r="M9" s="8">
        <v>79.87</v>
      </c>
      <c r="N9" s="8">
        <v>93.7</v>
      </c>
      <c r="O9" s="8">
        <v>56.17</v>
      </c>
      <c r="P9" s="8">
        <v>44.01</v>
      </c>
      <c r="Q9" s="8">
        <v>41.01</v>
      </c>
      <c r="R9" s="8">
        <v>38.44</v>
      </c>
      <c r="S9" s="8">
        <v>35.44</v>
      </c>
      <c r="T9" s="8">
        <v>42.12</v>
      </c>
      <c r="U9" s="9">
        <v>64.11</v>
      </c>
    </row>
    <row r="10" spans="1:21" ht="12.75">
      <c r="A10" s="1">
        <f t="shared" si="0"/>
        <v>4</v>
      </c>
      <c r="B10" s="4" t="s">
        <v>184</v>
      </c>
      <c r="C10" s="8">
        <f>129.1-1.67</f>
        <v>127.42999999999999</v>
      </c>
      <c r="D10" s="8">
        <f>118.6-1.7</f>
        <v>116.89999999999999</v>
      </c>
      <c r="E10" s="8">
        <f>95.3-0.84</f>
        <v>94.46</v>
      </c>
      <c r="F10" s="8">
        <v>72.25</v>
      </c>
      <c r="G10" s="8">
        <v>69.25</v>
      </c>
      <c r="H10" s="8">
        <v>58.37</v>
      </c>
      <c r="I10" s="8">
        <v>55.37</v>
      </c>
      <c r="J10" s="8">
        <f>98.9-0.83</f>
        <v>98.07000000000001</v>
      </c>
      <c r="K10" s="8">
        <v>88.55</v>
      </c>
      <c r="L10" s="8">
        <v>85.55</v>
      </c>
      <c r="M10" s="8">
        <v>80.12</v>
      </c>
      <c r="N10" s="8">
        <v>94</v>
      </c>
      <c r="O10" s="8">
        <v>55.1</v>
      </c>
      <c r="P10" s="8">
        <v>42.92</v>
      </c>
      <c r="Q10" s="8">
        <v>39.92</v>
      </c>
      <c r="R10" s="8">
        <v>37.5</v>
      </c>
      <c r="S10" s="8">
        <v>34.5</v>
      </c>
      <c r="T10" s="8">
        <v>41.46</v>
      </c>
      <c r="U10" s="9">
        <v>63.22</v>
      </c>
    </row>
    <row r="11" spans="1:21" ht="12.75">
      <c r="A11" s="1">
        <f t="shared" si="0"/>
        <v>5</v>
      </c>
      <c r="B11" s="4" t="s">
        <v>185</v>
      </c>
      <c r="C11" s="8">
        <v>128.5</v>
      </c>
      <c r="D11" s="8">
        <v>118.6</v>
      </c>
      <c r="E11" s="8">
        <v>96.8</v>
      </c>
      <c r="F11" s="8">
        <v>73.4</v>
      </c>
      <c r="G11" s="8">
        <v>70.4</v>
      </c>
      <c r="H11" s="8">
        <v>59.36</v>
      </c>
      <c r="I11" s="8">
        <v>56.36</v>
      </c>
      <c r="J11" s="8">
        <v>100.4</v>
      </c>
      <c r="K11" s="8">
        <v>89.67</v>
      </c>
      <c r="L11" s="8">
        <v>86.67</v>
      </c>
      <c r="M11" s="8">
        <v>81.29</v>
      </c>
      <c r="N11" s="8">
        <v>95.2</v>
      </c>
      <c r="O11" s="8">
        <v>53.77</v>
      </c>
      <c r="P11" s="8">
        <v>41.61</v>
      </c>
      <c r="Q11" s="8">
        <v>38.61</v>
      </c>
      <c r="R11" s="8">
        <v>36.37</v>
      </c>
      <c r="S11" s="8">
        <v>33.37</v>
      </c>
      <c r="T11" s="8">
        <v>42.47</v>
      </c>
      <c r="U11" s="9">
        <v>64.23</v>
      </c>
    </row>
    <row r="12" spans="1:21" ht="12.75">
      <c r="A12" s="1">
        <f t="shared" si="0"/>
        <v>6</v>
      </c>
      <c r="B12" s="4" t="s">
        <v>186</v>
      </c>
      <c r="C12" s="8">
        <f>132+2.57</f>
        <v>134.57</v>
      </c>
      <c r="D12" s="8">
        <f>121.3+2.55</f>
        <v>123.85</v>
      </c>
      <c r="E12" s="8">
        <f>99.3+1.59</f>
        <v>100.89</v>
      </c>
      <c r="F12" s="8">
        <v>75.93</v>
      </c>
      <c r="G12" s="8">
        <v>72.93</v>
      </c>
      <c r="H12" s="8">
        <v>61.54</v>
      </c>
      <c r="I12" s="8">
        <v>58.54</v>
      </c>
      <c r="J12" s="8">
        <v>102.9</v>
      </c>
      <c r="K12" s="8">
        <v>92.51</v>
      </c>
      <c r="L12" s="8">
        <v>89.21</v>
      </c>
      <c r="M12" s="8">
        <v>82.59</v>
      </c>
      <c r="N12" s="8">
        <v>96.4</v>
      </c>
      <c r="O12" s="8">
        <v>55.24</v>
      </c>
      <c r="P12" s="8">
        <v>43.09</v>
      </c>
      <c r="Q12" s="8">
        <v>40.09</v>
      </c>
      <c r="R12" s="8">
        <v>37.64</v>
      </c>
      <c r="S12" s="8">
        <v>36.64</v>
      </c>
      <c r="T12" s="8">
        <f>43.9+0.86</f>
        <v>44.76</v>
      </c>
      <c r="U12" s="9">
        <f>65.66+0.86</f>
        <v>66.52</v>
      </c>
    </row>
    <row r="13" spans="1:21" ht="12.75">
      <c r="A13" s="1">
        <f t="shared" si="0"/>
        <v>7</v>
      </c>
      <c r="B13" s="4" t="s">
        <v>187</v>
      </c>
      <c r="C13" s="8">
        <v>133.4</v>
      </c>
      <c r="D13" s="8">
        <v>122.9</v>
      </c>
      <c r="E13" s="8">
        <v>100.5</v>
      </c>
      <c r="F13" s="8">
        <v>77.08</v>
      </c>
      <c r="G13" s="8">
        <v>74.08</v>
      </c>
      <c r="H13" s="8">
        <v>62.53</v>
      </c>
      <c r="I13" s="8">
        <v>59.53</v>
      </c>
      <c r="J13" s="8">
        <v>104.1</v>
      </c>
      <c r="K13" s="8">
        <v>93.36</v>
      </c>
      <c r="L13" s="8">
        <v>90.36</v>
      </c>
      <c r="M13" s="8">
        <v>82.82</v>
      </c>
      <c r="N13" s="8">
        <v>96.7</v>
      </c>
      <c r="O13" s="8">
        <v>56.86</v>
      </c>
      <c r="P13" s="8">
        <v>44.7</v>
      </c>
      <c r="Q13" s="8">
        <v>41.7</v>
      </c>
      <c r="R13" s="8">
        <v>39.03</v>
      </c>
      <c r="S13" s="8">
        <v>36.03</v>
      </c>
      <c r="T13" s="8">
        <v>44.58</v>
      </c>
      <c r="U13" s="9">
        <v>66.34</v>
      </c>
    </row>
    <row r="14" spans="1:21" ht="12.75">
      <c r="A14" s="1">
        <f t="shared" si="0"/>
        <v>8</v>
      </c>
      <c r="B14" s="4" t="s">
        <v>188</v>
      </c>
      <c r="C14" s="8">
        <f>135.7+1.73</f>
        <v>137.42999999999998</v>
      </c>
      <c r="D14" s="8">
        <f>124.8+0.49</f>
        <v>125.28999999999999</v>
      </c>
      <c r="E14" s="8">
        <f>99.4-0.89</f>
        <v>98.51</v>
      </c>
      <c r="F14" s="8">
        <v>75.99</v>
      </c>
      <c r="G14" s="8">
        <v>72.99</v>
      </c>
      <c r="H14" s="8">
        <v>61.59</v>
      </c>
      <c r="I14" s="8">
        <v>58.59</v>
      </c>
      <c r="J14" s="8">
        <v>103</v>
      </c>
      <c r="K14" s="8">
        <v>92.27</v>
      </c>
      <c r="L14" s="8">
        <v>89.27</v>
      </c>
      <c r="M14" s="8">
        <v>82.42</v>
      </c>
      <c r="N14" s="8">
        <v>93.3</v>
      </c>
      <c r="O14" s="8">
        <v>56.66</v>
      </c>
      <c r="P14" s="8">
        <v>43.92</v>
      </c>
      <c r="Q14" s="8">
        <v>40.92</v>
      </c>
      <c r="R14" s="8">
        <v>38.36</v>
      </c>
      <c r="S14" s="8">
        <v>35.36</v>
      </c>
      <c r="T14" s="8">
        <f>44.51+0.86</f>
        <v>45.37</v>
      </c>
      <c r="U14" s="9">
        <f>66.27+0.86</f>
        <v>67.13</v>
      </c>
    </row>
    <row r="15" spans="1:21" ht="12.75">
      <c r="A15" s="1">
        <f t="shared" si="0"/>
        <v>9</v>
      </c>
      <c r="B15" s="4" t="s">
        <v>189</v>
      </c>
      <c r="C15" s="8">
        <v>138.1</v>
      </c>
      <c r="D15" s="8">
        <v>127.7</v>
      </c>
      <c r="E15" s="8">
        <v>100.3</v>
      </c>
      <c r="F15" s="8">
        <v>76.95</v>
      </c>
      <c r="G15" s="8">
        <v>73.95</v>
      </c>
      <c r="H15" s="8">
        <v>62.42</v>
      </c>
      <c r="I15" s="8">
        <v>59.42</v>
      </c>
      <c r="J15" s="8">
        <v>103.9</v>
      </c>
      <c r="K15" s="8">
        <v>93.23</v>
      </c>
      <c r="L15" s="8">
        <v>90.23</v>
      </c>
      <c r="M15" s="8">
        <v>81.62</v>
      </c>
      <c r="N15" s="8">
        <v>95.5</v>
      </c>
      <c r="O15" s="8">
        <v>57</v>
      </c>
      <c r="P15" s="8">
        <v>44.83</v>
      </c>
      <c r="Q15" s="8">
        <v>41.83</v>
      </c>
      <c r="R15" s="8">
        <v>39.14</v>
      </c>
      <c r="S15" s="8">
        <v>36.14</v>
      </c>
      <c r="T15" s="8">
        <v>43.47</v>
      </c>
      <c r="U15" s="9">
        <v>65.23</v>
      </c>
    </row>
    <row r="16" spans="1:21" ht="12.75">
      <c r="A16" s="1">
        <f t="shared" si="0"/>
        <v>10</v>
      </c>
      <c r="B16" s="4" t="s">
        <v>190</v>
      </c>
      <c r="C16" s="8">
        <v>140.8</v>
      </c>
      <c r="D16" s="8">
        <v>130.6</v>
      </c>
      <c r="E16" s="8">
        <v>102.3</v>
      </c>
      <c r="F16" s="8">
        <v>78.83</v>
      </c>
      <c r="G16" s="8">
        <v>75.83</v>
      </c>
      <c r="H16" s="8">
        <v>64.04</v>
      </c>
      <c r="I16" s="8">
        <v>61.04</v>
      </c>
      <c r="J16" s="8">
        <f>105.8+1.66</f>
        <v>107.46</v>
      </c>
      <c r="K16" s="8">
        <v>95.02</v>
      </c>
      <c r="L16" s="8">
        <v>92.02</v>
      </c>
      <c r="M16" s="8">
        <v>85.17</v>
      </c>
      <c r="N16" s="8">
        <v>98.94</v>
      </c>
      <c r="O16" s="8">
        <v>57.58</v>
      </c>
      <c r="P16" s="8">
        <v>45.42</v>
      </c>
      <c r="Q16" s="8">
        <v>42.42</v>
      </c>
      <c r="R16" s="8">
        <v>39.65</v>
      </c>
      <c r="S16" s="8">
        <v>36.65</v>
      </c>
      <c r="T16" s="8">
        <v>44.07</v>
      </c>
      <c r="U16" s="9">
        <v>65.83</v>
      </c>
    </row>
    <row r="17" spans="1:21" ht="12.75">
      <c r="A17" s="1">
        <f t="shared" si="0"/>
        <v>11</v>
      </c>
      <c r="B17" s="4" t="s">
        <v>191</v>
      </c>
      <c r="C17" s="8">
        <v>142.9</v>
      </c>
      <c r="D17" s="8">
        <v>133</v>
      </c>
      <c r="E17" s="8">
        <v>103</v>
      </c>
      <c r="F17" s="8">
        <v>79.64</v>
      </c>
      <c r="G17" s="8">
        <v>76.64</v>
      </c>
      <c r="H17" s="8">
        <v>64.74</v>
      </c>
      <c r="I17" s="8">
        <v>61.74</v>
      </c>
      <c r="J17" s="8">
        <v>106.6</v>
      </c>
      <c r="K17" s="8">
        <v>95.91</v>
      </c>
      <c r="L17" s="8">
        <v>92.91</v>
      </c>
      <c r="M17" s="8">
        <v>85.44</v>
      </c>
      <c r="N17" s="8">
        <v>99.3</v>
      </c>
      <c r="O17" s="8">
        <v>56.47</v>
      </c>
      <c r="P17" s="8">
        <v>43.85</v>
      </c>
      <c r="Q17" s="8">
        <v>40.85</v>
      </c>
      <c r="R17" s="8">
        <v>38.3</v>
      </c>
      <c r="S17" s="8">
        <v>35.3</v>
      </c>
      <c r="T17" s="8">
        <v>44.99</v>
      </c>
      <c r="U17" s="9">
        <v>66.75</v>
      </c>
    </row>
    <row r="18" spans="1:21" ht="12.75">
      <c r="A18" s="1">
        <f t="shared" si="0"/>
        <v>12</v>
      </c>
      <c r="B18" s="4" t="s">
        <v>192</v>
      </c>
      <c r="C18" s="8">
        <v>144.3</v>
      </c>
      <c r="D18" s="8">
        <v>133.6</v>
      </c>
      <c r="E18" s="8">
        <v>101.6</v>
      </c>
      <c r="F18" s="8">
        <v>78.19</v>
      </c>
      <c r="G18" s="8">
        <v>75.19</v>
      </c>
      <c r="H18" s="8">
        <v>63.49</v>
      </c>
      <c r="I18" s="8">
        <v>60.49</v>
      </c>
      <c r="J18" s="8">
        <f>105.2-0.89</f>
        <v>104.31</v>
      </c>
      <c r="K18" s="8">
        <v>94.46</v>
      </c>
      <c r="L18" s="8">
        <v>91.46</v>
      </c>
      <c r="M18" s="8">
        <v>84.52</v>
      </c>
      <c r="N18" s="8">
        <v>98.4</v>
      </c>
      <c r="O18" s="8">
        <v>55.85</v>
      </c>
      <c r="P18" s="8">
        <v>43.21</v>
      </c>
      <c r="Q18" s="8">
        <v>40.21</v>
      </c>
      <c r="R18" s="8">
        <v>37.75</v>
      </c>
      <c r="S18" s="8">
        <v>34.75</v>
      </c>
      <c r="T18" s="8">
        <v>45.58</v>
      </c>
      <c r="U18" s="9">
        <v>67.34</v>
      </c>
    </row>
    <row r="19" spans="1:21" ht="12.75">
      <c r="A19" s="1">
        <f t="shared" si="0"/>
        <v>13</v>
      </c>
      <c r="B19" s="4" t="s">
        <v>193</v>
      </c>
      <c r="C19" s="17">
        <f>143.4+4.33</f>
        <v>147.73000000000002</v>
      </c>
      <c r="D19" s="8">
        <f>132.8+0.88</f>
        <v>133.68</v>
      </c>
      <c r="E19" s="8">
        <f>100.4-0.91</f>
        <v>99.49000000000001</v>
      </c>
      <c r="F19" s="8">
        <v>76.95</v>
      </c>
      <c r="G19" s="8">
        <v>73.95</v>
      </c>
      <c r="H19" s="8">
        <v>62.42</v>
      </c>
      <c r="I19" s="8">
        <v>59.42</v>
      </c>
      <c r="J19" s="8">
        <f>104-0.93</f>
        <v>103.07</v>
      </c>
      <c r="K19" s="8">
        <v>93.22</v>
      </c>
      <c r="L19" s="8">
        <v>90.22</v>
      </c>
      <c r="M19" s="8">
        <v>83.05</v>
      </c>
      <c r="N19" s="8">
        <v>96.9</v>
      </c>
      <c r="O19" s="8">
        <v>55.57</v>
      </c>
      <c r="P19" s="8">
        <v>42.95</v>
      </c>
      <c r="Q19" s="8">
        <v>39.95</v>
      </c>
      <c r="R19" s="8">
        <v>37.52</v>
      </c>
      <c r="S19" s="8">
        <v>34.52</v>
      </c>
      <c r="T19" s="8">
        <f>44.82+0.86</f>
        <v>45.68</v>
      </c>
      <c r="U19" s="9">
        <f>66.58+0.86</f>
        <v>67.44</v>
      </c>
    </row>
    <row r="20" spans="1:21" ht="12.75">
      <c r="A20" s="1">
        <f t="shared" si="0"/>
        <v>14</v>
      </c>
      <c r="B20" s="4" t="s">
        <v>194</v>
      </c>
      <c r="C20" s="8">
        <f>147.6+4.97</f>
        <v>152.57</v>
      </c>
      <c r="D20" s="8">
        <f>134.9+1.89</f>
        <v>136.79</v>
      </c>
      <c r="E20" s="8">
        <f>102.8+1.42</f>
        <v>104.22</v>
      </c>
      <c r="F20" s="8">
        <v>78.5</v>
      </c>
      <c r="G20" s="8">
        <v>75.5</v>
      </c>
      <c r="H20" s="8">
        <v>63.76</v>
      </c>
      <c r="I20" s="8">
        <v>60.76</v>
      </c>
      <c r="J20" s="8">
        <f>106.2+1.58</f>
        <v>107.78</v>
      </c>
      <c r="K20" s="8">
        <v>94.8</v>
      </c>
      <c r="L20" s="8">
        <v>91.8</v>
      </c>
      <c r="M20" s="8">
        <v>87.11</v>
      </c>
      <c r="N20" s="8">
        <v>101.1</v>
      </c>
      <c r="O20" s="8">
        <v>58.13</v>
      </c>
      <c r="P20" s="8">
        <v>45.5</v>
      </c>
      <c r="Q20" s="8">
        <v>42.5</v>
      </c>
      <c r="R20" s="8">
        <v>39.72</v>
      </c>
      <c r="S20" s="8">
        <v>36.72</v>
      </c>
      <c r="T20" s="8">
        <f>46.25+1.4</f>
        <v>47.65</v>
      </c>
      <c r="U20" s="9">
        <f>68.01+1.4</f>
        <v>69.41000000000001</v>
      </c>
    </row>
    <row r="21" spans="1:21" ht="12.75">
      <c r="A21" s="1">
        <f t="shared" si="0"/>
        <v>15</v>
      </c>
      <c r="B21" s="4" t="s">
        <v>195</v>
      </c>
      <c r="C21" s="8">
        <f>151.2+2.56</f>
        <v>153.76</v>
      </c>
      <c r="D21" s="8">
        <f>137.7+0.84</f>
        <v>138.54</v>
      </c>
      <c r="E21" s="8">
        <f>105.2+0.79</f>
        <v>105.99000000000001</v>
      </c>
      <c r="F21" s="8">
        <v>80.72</v>
      </c>
      <c r="G21" s="8">
        <v>77.72</v>
      </c>
      <c r="H21" s="8">
        <v>65.67</v>
      </c>
      <c r="I21" s="8">
        <v>62.67</v>
      </c>
      <c r="J21" s="8">
        <f>108.4+1.13</f>
        <v>109.53</v>
      </c>
      <c r="K21" s="8">
        <v>96.99</v>
      </c>
      <c r="L21" s="8">
        <v>93.99</v>
      </c>
      <c r="M21" s="8">
        <v>90.87</v>
      </c>
      <c r="N21" s="8">
        <v>105.1</v>
      </c>
      <c r="O21" s="8">
        <v>59.35</v>
      </c>
      <c r="P21" s="8">
        <v>46.73</v>
      </c>
      <c r="Q21" s="8">
        <v>43.73</v>
      </c>
      <c r="R21" s="8">
        <v>40.78</v>
      </c>
      <c r="S21" s="8">
        <v>37.78</v>
      </c>
      <c r="T21" s="8">
        <f>46.84+0.45</f>
        <v>47.290000000000006</v>
      </c>
      <c r="U21" s="9">
        <f>68.6+0.45</f>
        <v>69.05</v>
      </c>
    </row>
    <row r="22" spans="1:21" ht="12.75">
      <c r="A22" s="1">
        <f t="shared" si="0"/>
        <v>16</v>
      </c>
      <c r="B22" s="4" t="s">
        <v>196</v>
      </c>
      <c r="C22" s="8">
        <f>153.1+6.23</f>
        <v>159.32999999999998</v>
      </c>
      <c r="D22" s="8">
        <f>139.5+5.25</f>
        <v>144.75</v>
      </c>
      <c r="E22" s="8">
        <f>105+0.5</f>
        <v>105.5</v>
      </c>
      <c r="F22" s="8">
        <v>80.43</v>
      </c>
      <c r="G22" s="8">
        <v>77.43</v>
      </c>
      <c r="H22" s="8">
        <v>65.42</v>
      </c>
      <c r="I22" s="8">
        <v>62.42</v>
      </c>
      <c r="J22" s="8">
        <f>108.1+0.94</f>
        <v>109.03999999999999</v>
      </c>
      <c r="K22" s="8">
        <v>96.6</v>
      </c>
      <c r="L22" s="8">
        <v>93.6</v>
      </c>
      <c r="M22" s="8">
        <v>92.08</v>
      </c>
      <c r="N22" s="8">
        <v>106.4</v>
      </c>
      <c r="O22" s="8">
        <v>60.03</v>
      </c>
      <c r="P22" s="8">
        <v>47.4</v>
      </c>
      <c r="Q22" s="8">
        <v>44.4</v>
      </c>
      <c r="R22" s="8">
        <v>41.36</v>
      </c>
      <c r="S22" s="8">
        <v>38.36</v>
      </c>
      <c r="T22" s="8">
        <v>46.53</v>
      </c>
      <c r="U22" s="9">
        <v>68.29</v>
      </c>
    </row>
    <row r="23" spans="1:21" ht="12.75">
      <c r="A23" s="1">
        <f t="shared" si="0"/>
        <v>17</v>
      </c>
      <c r="B23" s="4" t="s">
        <v>197</v>
      </c>
      <c r="C23" s="8">
        <f>151.9+0.05</f>
        <v>151.95000000000002</v>
      </c>
      <c r="D23" s="8">
        <f>138.8+1.95</f>
        <v>140.75</v>
      </c>
      <c r="E23" s="8">
        <v>104.6</v>
      </c>
      <c r="F23" s="8">
        <v>80.06</v>
      </c>
      <c r="G23" s="8">
        <v>77.06</v>
      </c>
      <c r="H23" s="8">
        <v>65.1</v>
      </c>
      <c r="I23" s="8">
        <v>62.1</v>
      </c>
      <c r="J23" s="8">
        <f>107.8+0.34</f>
        <v>108.14</v>
      </c>
      <c r="K23" s="8">
        <v>96.34</v>
      </c>
      <c r="L23" s="8">
        <v>93.34</v>
      </c>
      <c r="M23" s="8">
        <v>92.63</v>
      </c>
      <c r="N23" s="8">
        <v>107</v>
      </c>
      <c r="O23" s="8">
        <v>60.96</v>
      </c>
      <c r="P23" s="8">
        <v>48.34</v>
      </c>
      <c r="Q23" s="8">
        <v>45.34</v>
      </c>
      <c r="R23" s="8">
        <v>42.17</v>
      </c>
      <c r="S23" s="8">
        <v>39.17</v>
      </c>
      <c r="T23" s="8">
        <f>47.16+0.45</f>
        <v>47.61</v>
      </c>
      <c r="U23" s="9">
        <f>68.92+0.45</f>
        <v>69.37</v>
      </c>
    </row>
    <row r="24" spans="1:21" ht="12.75">
      <c r="A24" s="1">
        <f t="shared" si="0"/>
        <v>18</v>
      </c>
      <c r="B24" s="4" t="s">
        <v>198</v>
      </c>
      <c r="C24" s="8">
        <f>154.4+4.05</f>
        <v>158.45000000000002</v>
      </c>
      <c r="D24" s="8">
        <f>140.9+7.87</f>
        <v>148.77</v>
      </c>
      <c r="E24" s="8">
        <v>106.9</v>
      </c>
      <c r="F24" s="8">
        <v>82.53</v>
      </c>
      <c r="G24" s="8">
        <v>79.53</v>
      </c>
      <c r="H24" s="8">
        <v>67.23</v>
      </c>
      <c r="I24" s="8">
        <v>64.23</v>
      </c>
      <c r="J24" s="8">
        <v>110.5</v>
      </c>
      <c r="K24" s="8">
        <v>98.87</v>
      </c>
      <c r="L24" s="8">
        <v>95.87</v>
      </c>
      <c r="M24" s="8">
        <v>92.48</v>
      </c>
      <c r="N24" s="8">
        <v>106.6</v>
      </c>
      <c r="O24" s="8">
        <v>64.16</v>
      </c>
      <c r="P24" s="8">
        <v>51.53</v>
      </c>
      <c r="Q24" s="8">
        <v>48.53</v>
      </c>
      <c r="R24" s="8">
        <v>44.92</v>
      </c>
      <c r="S24" s="8">
        <v>41.92</v>
      </c>
      <c r="T24" s="8">
        <f>48.76+0.35</f>
        <v>49.11</v>
      </c>
      <c r="U24" s="9">
        <f>70.52+0.35</f>
        <v>70.86999999999999</v>
      </c>
    </row>
    <row r="25" spans="1:21" ht="12.75">
      <c r="A25" s="1">
        <f t="shared" si="0"/>
        <v>19</v>
      </c>
      <c r="B25" s="4" t="s">
        <v>199</v>
      </c>
      <c r="C25" s="8">
        <f>156.6+2.58</f>
        <v>159.18</v>
      </c>
      <c r="D25" s="8">
        <f>144+5.15</f>
        <v>149.15</v>
      </c>
      <c r="E25" s="8">
        <v>107.8</v>
      </c>
      <c r="F25" s="8">
        <v>83.39</v>
      </c>
      <c r="G25" s="8">
        <v>80.39</v>
      </c>
      <c r="H25" s="8">
        <v>67.97</v>
      </c>
      <c r="I25" s="8">
        <v>64.97</v>
      </c>
      <c r="J25" s="8">
        <v>111.4</v>
      </c>
      <c r="K25" s="8">
        <v>99.71</v>
      </c>
      <c r="L25" s="8">
        <v>96.71</v>
      </c>
      <c r="M25" s="8">
        <v>92.61</v>
      </c>
      <c r="N25" s="8">
        <v>106.7</v>
      </c>
      <c r="O25" s="8">
        <v>67.05</v>
      </c>
      <c r="P25" s="8">
        <v>54.43</v>
      </c>
      <c r="Q25" s="8">
        <v>51.43</v>
      </c>
      <c r="R25" s="8">
        <v>47.42</v>
      </c>
      <c r="S25" s="8">
        <v>44.42</v>
      </c>
      <c r="T25" s="8">
        <f>50.66+0.29</f>
        <v>50.949999999999996</v>
      </c>
      <c r="U25" s="9">
        <f>72.42+0.29</f>
        <v>72.71000000000001</v>
      </c>
    </row>
    <row r="26" spans="1:21" ht="12.75">
      <c r="A26" s="1">
        <f t="shared" si="0"/>
        <v>20</v>
      </c>
      <c r="B26" s="4" t="s">
        <v>200</v>
      </c>
      <c r="C26" s="8">
        <v>158.1</v>
      </c>
      <c r="D26" s="8">
        <v>147.5</v>
      </c>
      <c r="E26" s="8">
        <v>105.3</v>
      </c>
      <c r="F26" s="8">
        <v>81.91</v>
      </c>
      <c r="G26" s="8">
        <v>78.91</v>
      </c>
      <c r="H26" s="8">
        <v>66.7</v>
      </c>
      <c r="I26" s="8">
        <v>63.7</v>
      </c>
      <c r="J26" s="8">
        <v>108.9</v>
      </c>
      <c r="K26" s="8">
        <v>98.19</v>
      </c>
      <c r="L26" s="8">
        <v>95.19</v>
      </c>
      <c r="M26" s="8">
        <v>90.77</v>
      </c>
      <c r="N26" s="8">
        <v>104.9</v>
      </c>
      <c r="O26" s="8">
        <v>65.35</v>
      </c>
      <c r="P26" s="8">
        <v>52.73</v>
      </c>
      <c r="Q26" s="8">
        <v>49.73</v>
      </c>
      <c r="R26" s="8">
        <v>45.95</v>
      </c>
      <c r="S26" s="8">
        <v>42.95</v>
      </c>
      <c r="T26" s="8">
        <v>49.71</v>
      </c>
      <c r="U26" s="9">
        <v>71.47</v>
      </c>
    </row>
    <row r="27" spans="1:21" ht="12.75">
      <c r="A27" s="1">
        <f t="shared" si="0"/>
        <v>21</v>
      </c>
      <c r="B27" s="4" t="s">
        <v>201</v>
      </c>
      <c r="C27" s="8">
        <f>160.8+1.71</f>
        <v>162.51000000000002</v>
      </c>
      <c r="D27" s="8">
        <f>149.9+3.36</f>
        <v>153.26000000000002</v>
      </c>
      <c r="E27" s="8">
        <v>107.6</v>
      </c>
      <c r="F27" s="8">
        <v>84.22</v>
      </c>
      <c r="G27" s="8">
        <v>81.22</v>
      </c>
      <c r="H27" s="8">
        <v>68.69</v>
      </c>
      <c r="I27" s="8">
        <v>65.69</v>
      </c>
      <c r="J27" s="8">
        <v>111.2</v>
      </c>
      <c r="K27" s="8">
        <v>100.5</v>
      </c>
      <c r="L27" s="8">
        <v>97.5</v>
      </c>
      <c r="M27" s="8">
        <v>91.48</v>
      </c>
      <c r="N27" s="8">
        <v>105.7</v>
      </c>
      <c r="O27" s="8">
        <v>65.01</v>
      </c>
      <c r="P27" s="8">
        <v>52.39</v>
      </c>
      <c r="Q27" s="8">
        <v>49.39</v>
      </c>
      <c r="R27" s="8">
        <v>45.66</v>
      </c>
      <c r="S27" s="8">
        <v>42.66</v>
      </c>
      <c r="T27" s="8">
        <v>50.38</v>
      </c>
      <c r="U27" s="9">
        <v>72.14</v>
      </c>
    </row>
    <row r="28" spans="1:21" ht="12.75">
      <c r="A28" s="1">
        <f t="shared" si="0"/>
        <v>22</v>
      </c>
      <c r="B28" s="4" t="s">
        <v>202</v>
      </c>
      <c r="C28" s="8">
        <f>160.1-0.085</f>
        <v>160.015</v>
      </c>
      <c r="D28" s="8">
        <f>149+0.79</f>
        <v>149.79</v>
      </c>
      <c r="E28" s="8">
        <v>111</v>
      </c>
      <c r="F28" s="8">
        <v>87.64</v>
      </c>
      <c r="G28" s="8">
        <v>84.64</v>
      </c>
      <c r="H28" s="8">
        <v>71.64</v>
      </c>
      <c r="I28" s="8">
        <v>68.64</v>
      </c>
      <c r="J28" s="8">
        <v>114.6</v>
      </c>
      <c r="K28" s="8">
        <v>103.92</v>
      </c>
      <c r="L28" s="8">
        <v>100.92</v>
      </c>
      <c r="M28" s="8">
        <v>93.28</v>
      </c>
      <c r="N28" s="8">
        <v>107.5</v>
      </c>
      <c r="O28" s="8">
        <v>66.02</v>
      </c>
      <c r="P28" s="8">
        <v>53.4</v>
      </c>
      <c r="Q28" s="8">
        <v>50.4</v>
      </c>
      <c r="R28" s="8">
        <v>46.53</v>
      </c>
      <c r="S28" s="8">
        <v>43.53</v>
      </c>
      <c r="T28" s="8">
        <v>50.57</v>
      </c>
      <c r="U28" s="9">
        <v>72.33</v>
      </c>
    </row>
    <row r="29" spans="1:21" ht="12.75">
      <c r="A29" s="1">
        <f t="shared" si="0"/>
        <v>23</v>
      </c>
      <c r="B29" s="4" t="s">
        <v>203</v>
      </c>
      <c r="C29" s="8">
        <f>159.5-0.7</f>
        <v>158.8</v>
      </c>
      <c r="D29" s="8">
        <f>148.2+0.82</f>
        <v>149.01999999999998</v>
      </c>
      <c r="E29" s="8">
        <v>111.1</v>
      </c>
      <c r="F29" s="8">
        <v>87.71</v>
      </c>
      <c r="G29" s="8">
        <v>84.71</v>
      </c>
      <c r="H29" s="8">
        <v>71.7</v>
      </c>
      <c r="I29" s="8">
        <v>68.7</v>
      </c>
      <c r="J29" s="8">
        <v>114.7</v>
      </c>
      <c r="K29" s="8">
        <v>103.98</v>
      </c>
      <c r="L29" s="8">
        <v>100.98</v>
      </c>
      <c r="M29" s="8">
        <v>92.68</v>
      </c>
      <c r="N29" s="8">
        <v>106.7</v>
      </c>
      <c r="O29" s="8">
        <v>65.38</v>
      </c>
      <c r="P29" s="8">
        <v>52.76</v>
      </c>
      <c r="Q29" s="8">
        <v>49.76</v>
      </c>
      <c r="R29" s="8">
        <v>45.98</v>
      </c>
      <c r="S29" s="8">
        <v>42.98</v>
      </c>
      <c r="T29" s="8">
        <v>50.57</v>
      </c>
      <c r="U29" s="9">
        <v>72.33</v>
      </c>
    </row>
    <row r="30" spans="1:21" ht="12.75">
      <c r="A30" s="1">
        <f t="shared" si="0"/>
        <v>24</v>
      </c>
      <c r="B30" s="4" t="s">
        <v>204</v>
      </c>
      <c r="C30" s="8">
        <v>156.7</v>
      </c>
      <c r="D30" s="8">
        <v>145.7</v>
      </c>
      <c r="E30" s="8">
        <v>110.8</v>
      </c>
      <c r="F30" s="8">
        <v>87.42</v>
      </c>
      <c r="G30" s="8">
        <v>84.42</v>
      </c>
      <c r="H30" s="8">
        <v>71.45</v>
      </c>
      <c r="I30" s="8">
        <v>68.45</v>
      </c>
      <c r="J30" s="8">
        <v>114.4</v>
      </c>
      <c r="K30" s="8">
        <v>103.69</v>
      </c>
      <c r="L30" s="8">
        <v>100.69</v>
      </c>
      <c r="M30" s="8">
        <v>93.76</v>
      </c>
      <c r="N30" s="8">
        <v>107.8</v>
      </c>
      <c r="O30" s="8">
        <v>66.58</v>
      </c>
      <c r="P30" s="8">
        <v>53.94</v>
      </c>
      <c r="Q30" s="8">
        <v>50.94</v>
      </c>
      <c r="R30" s="8">
        <v>47</v>
      </c>
      <c r="S30" s="8">
        <v>44</v>
      </c>
      <c r="T30" s="8">
        <v>49.23</v>
      </c>
      <c r="U30" s="9">
        <v>70.99</v>
      </c>
    </row>
    <row r="31" spans="1:21" ht="12.75">
      <c r="A31" s="1">
        <f t="shared" si="0"/>
        <v>25</v>
      </c>
      <c r="B31" s="4" t="s">
        <v>205</v>
      </c>
      <c r="C31" s="8">
        <v>154.6</v>
      </c>
      <c r="D31" s="8">
        <v>143.3</v>
      </c>
      <c r="E31" s="8">
        <v>109.5</v>
      </c>
      <c r="F31" s="8">
        <v>85.49</v>
      </c>
      <c r="G31" s="8">
        <v>82.49</v>
      </c>
      <c r="H31" s="8">
        <v>69.78</v>
      </c>
      <c r="I31" s="8">
        <v>66.78</v>
      </c>
      <c r="J31" s="8">
        <v>113.2</v>
      </c>
      <c r="K31" s="8">
        <v>102.51</v>
      </c>
      <c r="L31" s="8">
        <v>99.51</v>
      </c>
      <c r="M31" s="8">
        <v>92.1</v>
      </c>
      <c r="N31" s="8">
        <v>106.4</v>
      </c>
      <c r="O31" s="8">
        <v>67.09</v>
      </c>
      <c r="P31" s="8">
        <v>54.04</v>
      </c>
      <c r="Q31" s="8">
        <v>51.04</v>
      </c>
      <c r="R31" s="8">
        <v>47.08</v>
      </c>
      <c r="S31" s="8">
        <v>44.08</v>
      </c>
      <c r="T31" s="8">
        <v>48.32</v>
      </c>
      <c r="U31" s="9">
        <v>70.08</v>
      </c>
    </row>
    <row r="32" spans="1:21" ht="12.75">
      <c r="A32" s="1">
        <f t="shared" si="0"/>
        <v>26</v>
      </c>
      <c r="B32" s="4" t="s">
        <v>206</v>
      </c>
      <c r="C32" s="8">
        <v>158.4</v>
      </c>
      <c r="D32" s="8">
        <v>147.1</v>
      </c>
      <c r="E32" s="8">
        <v>113.5</v>
      </c>
      <c r="F32" s="8">
        <v>90.07</v>
      </c>
      <c r="G32" s="8">
        <v>87.07</v>
      </c>
      <c r="H32" s="8">
        <v>73.21</v>
      </c>
      <c r="I32" s="8">
        <v>70.21</v>
      </c>
      <c r="J32" s="8">
        <v>117.2</v>
      </c>
      <c r="K32" s="8">
        <v>106.49</v>
      </c>
      <c r="L32" s="8">
        <v>103.49</v>
      </c>
      <c r="M32" s="8">
        <v>95.36</v>
      </c>
      <c r="N32" s="8">
        <v>109.6</v>
      </c>
      <c r="O32" s="8">
        <v>68.33</v>
      </c>
      <c r="P32" s="8">
        <v>55.29</v>
      </c>
      <c r="Q32" s="8">
        <v>52.29</v>
      </c>
      <c r="R32" s="8">
        <v>48.16</v>
      </c>
      <c r="S32" s="8">
        <v>45.16</v>
      </c>
      <c r="T32" s="8">
        <v>50.15</v>
      </c>
      <c r="U32" s="9">
        <v>71.91</v>
      </c>
    </row>
    <row r="33" spans="1:21" ht="12.75">
      <c r="A33" s="1">
        <f t="shared" si="0"/>
        <v>27</v>
      </c>
      <c r="B33" s="4" t="s">
        <v>207</v>
      </c>
      <c r="C33" s="8">
        <f>158.7-4.3</f>
        <v>154.39999999999998</v>
      </c>
      <c r="D33" s="8">
        <v>146.9</v>
      </c>
      <c r="E33" s="8">
        <v>113.6</v>
      </c>
      <c r="F33" s="8">
        <v>90.19</v>
      </c>
      <c r="G33" s="8">
        <v>87.19</v>
      </c>
      <c r="H33" s="8">
        <v>73.32</v>
      </c>
      <c r="I33" s="8">
        <v>70.32</v>
      </c>
      <c r="J33" s="8">
        <v>117.3</v>
      </c>
      <c r="K33" s="8">
        <v>106.63</v>
      </c>
      <c r="L33" s="8">
        <v>103.63</v>
      </c>
      <c r="M33" s="8">
        <v>95.33</v>
      </c>
      <c r="N33" s="8">
        <v>109.7</v>
      </c>
      <c r="O33" s="8">
        <v>65.81</v>
      </c>
      <c r="P33" s="8">
        <v>52.77</v>
      </c>
      <c r="Q33" s="8">
        <v>49.77</v>
      </c>
      <c r="R33" s="8">
        <v>45.99</v>
      </c>
      <c r="S33" s="8">
        <v>42.99</v>
      </c>
      <c r="T33" s="8">
        <v>50.24</v>
      </c>
      <c r="U33" s="9">
        <v>72</v>
      </c>
    </row>
    <row r="34" spans="1:21" ht="12.75">
      <c r="A34" s="1">
        <f t="shared" si="0"/>
        <v>28</v>
      </c>
      <c r="B34" s="4" t="s">
        <v>208</v>
      </c>
      <c r="C34" s="8">
        <v>161.4</v>
      </c>
      <c r="D34" s="8">
        <v>148.6</v>
      </c>
      <c r="E34" s="8">
        <v>115.8</v>
      </c>
      <c r="F34" s="8">
        <v>92.37</v>
      </c>
      <c r="G34" s="8">
        <v>89.37</v>
      </c>
      <c r="H34" s="8">
        <v>75.2</v>
      </c>
      <c r="I34" s="8">
        <v>72.2</v>
      </c>
      <c r="J34" s="8">
        <v>119.5</v>
      </c>
      <c r="K34" s="8">
        <v>108.81</v>
      </c>
      <c r="L34" s="8">
        <v>105.81</v>
      </c>
      <c r="M34" s="8">
        <v>97.96</v>
      </c>
      <c r="N34" s="8">
        <v>112.3</v>
      </c>
      <c r="O34" s="8">
        <v>66.89</v>
      </c>
      <c r="P34" s="8">
        <v>53.85</v>
      </c>
      <c r="Q34" s="8">
        <v>50.85</v>
      </c>
      <c r="R34" s="8">
        <v>46.92</v>
      </c>
      <c r="S34" s="8">
        <v>43.92</v>
      </c>
      <c r="T34" s="8">
        <v>51.2</v>
      </c>
      <c r="U34" s="9">
        <v>72.96</v>
      </c>
    </row>
    <row r="35" spans="1:21" ht="12.75">
      <c r="A35" s="1">
        <f t="shared" si="0"/>
        <v>29</v>
      </c>
      <c r="B35" s="4" t="s">
        <v>209</v>
      </c>
      <c r="C35" s="8">
        <f>163.6-1.86</f>
        <v>161.73999999999998</v>
      </c>
      <c r="D35" s="8">
        <f>151.4-2.85</f>
        <v>148.55</v>
      </c>
      <c r="E35" s="8">
        <v>117.4</v>
      </c>
      <c r="F35" s="8">
        <v>94.01</v>
      </c>
      <c r="G35" s="8">
        <v>91.01</v>
      </c>
      <c r="H35" s="8">
        <v>76.61</v>
      </c>
      <c r="I35" s="8">
        <v>73.61</v>
      </c>
      <c r="J35" s="8">
        <v>121</v>
      </c>
      <c r="K35" s="8">
        <v>110.44</v>
      </c>
      <c r="L35" s="8">
        <v>107.44</v>
      </c>
      <c r="M35" s="8">
        <v>99.29</v>
      </c>
      <c r="N35" s="8">
        <v>113.6</v>
      </c>
      <c r="O35" s="8">
        <v>68.53</v>
      </c>
      <c r="P35" s="8">
        <v>55.49</v>
      </c>
      <c r="Q35" s="8">
        <v>52.49</v>
      </c>
      <c r="R35" s="8">
        <v>48.33</v>
      </c>
      <c r="S35" s="8">
        <v>45.33</v>
      </c>
      <c r="T35" s="8">
        <v>52.09</v>
      </c>
      <c r="U35" s="9">
        <v>73.85</v>
      </c>
    </row>
    <row r="36" spans="1:21" ht="12.75" customHeight="1">
      <c r="A36" s="1">
        <f t="shared" si="0"/>
        <v>30</v>
      </c>
      <c r="B36" s="4" t="s">
        <v>233</v>
      </c>
      <c r="C36" s="8">
        <v>156.4</v>
      </c>
      <c r="D36" s="8">
        <v>144.3</v>
      </c>
      <c r="E36" s="8">
        <v>115</v>
      </c>
      <c r="F36" s="8">
        <v>91.56</v>
      </c>
      <c r="G36" s="8">
        <v>88.58</v>
      </c>
      <c r="H36" s="8">
        <v>74.52</v>
      </c>
      <c r="I36" s="8">
        <v>71.52</v>
      </c>
      <c r="J36" s="8">
        <v>118.7</v>
      </c>
      <c r="K36" s="8">
        <v>108.02</v>
      </c>
      <c r="L36" s="8">
        <v>105.02</v>
      </c>
      <c r="M36" s="8">
        <v>96.62</v>
      </c>
      <c r="N36" s="8">
        <v>111</v>
      </c>
      <c r="O36" s="8">
        <v>68.93</v>
      </c>
      <c r="P36" s="8">
        <v>55.59</v>
      </c>
      <c r="Q36" s="8">
        <v>52.89</v>
      </c>
      <c r="R36" s="8">
        <v>48.68</v>
      </c>
      <c r="S36" s="8">
        <v>45.68</v>
      </c>
      <c r="T36" s="8">
        <f>51.59-1.06</f>
        <v>50.53</v>
      </c>
      <c r="U36" s="9">
        <f>73.35-1.06</f>
        <v>72.28999999999999</v>
      </c>
    </row>
    <row r="37" spans="1:21" ht="12.75" customHeight="1">
      <c r="A37" s="1">
        <f t="shared" si="0"/>
        <v>31</v>
      </c>
      <c r="B37" s="4" t="s">
        <v>234</v>
      </c>
      <c r="C37" s="8">
        <v>152.6</v>
      </c>
      <c r="D37" s="8">
        <v>141.2</v>
      </c>
      <c r="E37" s="8">
        <v>114.5</v>
      </c>
      <c r="F37" s="8">
        <v>91.11</v>
      </c>
      <c r="G37" s="8">
        <v>88.11</v>
      </c>
      <c r="H37" s="8">
        <v>74.11</v>
      </c>
      <c r="I37" s="8">
        <v>71.11</v>
      </c>
      <c r="J37" s="8">
        <v>118.2</v>
      </c>
      <c r="K37" s="8">
        <v>107.53</v>
      </c>
      <c r="L37" s="8">
        <v>104.53</v>
      </c>
      <c r="M37" s="8">
        <v>96.88</v>
      </c>
      <c r="N37" s="8">
        <v>111.2</v>
      </c>
      <c r="O37" s="8">
        <v>71.28</v>
      </c>
      <c r="P37" s="8">
        <v>58.22</v>
      </c>
      <c r="Q37" s="8">
        <v>55.22</v>
      </c>
      <c r="R37" s="8">
        <v>50.69</v>
      </c>
      <c r="S37" s="8">
        <v>47.69</v>
      </c>
      <c r="T37" s="8">
        <v>52.34</v>
      </c>
      <c r="U37" s="9">
        <v>74.1</v>
      </c>
    </row>
    <row r="38" spans="1:21" ht="12.75" customHeight="1">
      <c r="A38" s="1">
        <f t="shared" si="0"/>
        <v>32</v>
      </c>
      <c r="B38" s="4" t="s">
        <v>235</v>
      </c>
      <c r="C38" s="8">
        <v>152.5</v>
      </c>
      <c r="D38" s="8">
        <v>140.9</v>
      </c>
      <c r="E38" s="8">
        <v>115.3</v>
      </c>
      <c r="F38" s="8">
        <v>91.96</v>
      </c>
      <c r="G38" s="8">
        <v>88.96</v>
      </c>
      <c r="H38" s="8">
        <v>74.84</v>
      </c>
      <c r="I38" s="8">
        <v>71.84</v>
      </c>
      <c r="J38" s="8">
        <v>119.1</v>
      </c>
      <c r="K38" s="8">
        <v>108.38</v>
      </c>
      <c r="L38" s="8">
        <v>105.38</v>
      </c>
      <c r="M38" s="8">
        <v>97.61</v>
      </c>
      <c r="N38" s="8">
        <v>112.1</v>
      </c>
      <c r="O38" s="8">
        <v>71.35</v>
      </c>
      <c r="P38" s="8">
        <v>58.31</v>
      </c>
      <c r="Q38" s="8">
        <v>55.31</v>
      </c>
      <c r="R38" s="8">
        <v>50.76</v>
      </c>
      <c r="S38" s="8">
        <v>47.76</v>
      </c>
      <c r="T38" s="8">
        <v>53.08</v>
      </c>
      <c r="U38" s="9">
        <v>74.84</v>
      </c>
    </row>
    <row r="39" spans="1:21" ht="12.75" customHeight="1">
      <c r="A39" s="1">
        <f t="shared" si="0"/>
        <v>33</v>
      </c>
      <c r="B39" s="4" t="s">
        <v>236</v>
      </c>
      <c r="C39" s="8">
        <v>150.1</v>
      </c>
      <c r="D39" s="8">
        <v>137</v>
      </c>
      <c r="E39" s="8">
        <v>110.3</v>
      </c>
      <c r="F39" s="8">
        <v>86.52</v>
      </c>
      <c r="G39" s="8">
        <v>83.52</v>
      </c>
      <c r="H39" s="8">
        <v>70.52</v>
      </c>
      <c r="I39" s="8">
        <v>67.52</v>
      </c>
      <c r="J39" s="8">
        <v>114.1</v>
      </c>
      <c r="K39" s="8">
        <v>103.37</v>
      </c>
      <c r="L39" s="8">
        <v>100.37</v>
      </c>
      <c r="M39" s="8">
        <v>93.07</v>
      </c>
      <c r="N39" s="8">
        <v>107.5</v>
      </c>
      <c r="O39" s="8">
        <v>68.83</v>
      </c>
      <c r="P39" s="8">
        <v>55.79</v>
      </c>
      <c r="Q39" s="8">
        <v>52.79</v>
      </c>
      <c r="R39" s="8">
        <v>48.59</v>
      </c>
      <c r="S39" s="8">
        <v>45.59</v>
      </c>
      <c r="T39" s="8">
        <v>51.15</v>
      </c>
      <c r="U39" s="9">
        <v>72.91</v>
      </c>
    </row>
    <row r="40" spans="1:21" ht="12.75" customHeight="1">
      <c r="A40" s="1">
        <f t="shared" si="0"/>
        <v>34</v>
      </c>
      <c r="B40" s="4" t="s">
        <v>237</v>
      </c>
      <c r="C40" s="8">
        <v>152.2</v>
      </c>
      <c r="D40" s="8">
        <v>140.4</v>
      </c>
      <c r="E40" s="8">
        <v>112.6</v>
      </c>
      <c r="F40" s="8">
        <v>88.81</v>
      </c>
      <c r="G40" s="8">
        <v>85.81</v>
      </c>
      <c r="H40" s="8">
        <v>72.49</v>
      </c>
      <c r="I40" s="8">
        <v>69.49</v>
      </c>
      <c r="J40" s="8">
        <v>116.4</v>
      </c>
      <c r="K40" s="8">
        <v>105.64</v>
      </c>
      <c r="L40" s="8">
        <v>102.64</v>
      </c>
      <c r="M40" s="8">
        <v>95.97</v>
      </c>
      <c r="N40" s="8">
        <v>110.4</v>
      </c>
      <c r="O40" s="8">
        <v>67.82</v>
      </c>
      <c r="P40" s="8">
        <v>54.78</v>
      </c>
      <c r="Q40" s="8">
        <v>51.78</v>
      </c>
      <c r="R40" s="8">
        <v>47.72</v>
      </c>
      <c r="S40" s="8">
        <v>44.72</v>
      </c>
      <c r="T40" s="8">
        <v>51.92</v>
      </c>
      <c r="U40" s="9">
        <v>73.68</v>
      </c>
    </row>
    <row r="41" spans="1:21" ht="12.75" customHeight="1">
      <c r="A41" s="1">
        <f t="shared" si="0"/>
        <v>35</v>
      </c>
      <c r="B41" s="4" t="s">
        <v>238</v>
      </c>
      <c r="C41" s="8">
        <v>148.7</v>
      </c>
      <c r="D41" s="8">
        <v>137.2</v>
      </c>
      <c r="E41" s="8">
        <v>111.8</v>
      </c>
      <c r="F41" s="8">
        <v>87.93</v>
      </c>
      <c r="G41" s="8">
        <v>84.93</v>
      </c>
      <c r="H41" s="8">
        <v>71.73</v>
      </c>
      <c r="I41" s="8">
        <v>68.73</v>
      </c>
      <c r="J41" s="8">
        <v>115.5</v>
      </c>
      <c r="K41" s="8">
        <v>104.77</v>
      </c>
      <c r="L41" s="8">
        <v>101.77</v>
      </c>
      <c r="M41" s="8">
        <v>95.24</v>
      </c>
      <c r="N41" s="8">
        <v>109.6</v>
      </c>
      <c r="O41" s="8">
        <v>65.73</v>
      </c>
      <c r="P41" s="8">
        <v>52.69</v>
      </c>
      <c r="Q41" s="8">
        <v>49.69</v>
      </c>
      <c r="R41" s="8">
        <v>45.92</v>
      </c>
      <c r="S41" s="8">
        <v>42.92</v>
      </c>
      <c r="T41" s="8">
        <v>51.74</v>
      </c>
      <c r="U41" s="9">
        <v>73.5</v>
      </c>
    </row>
    <row r="42" spans="1:21" ht="12.75" customHeight="1">
      <c r="A42" s="1">
        <f t="shared" si="0"/>
        <v>36</v>
      </c>
      <c r="B42" s="4" t="s">
        <v>239</v>
      </c>
      <c r="C42" s="8">
        <f>151.6+4.1</f>
        <v>155.7</v>
      </c>
      <c r="D42" s="8">
        <f>140.2+2.66</f>
        <v>142.85999999999999</v>
      </c>
      <c r="E42" s="8">
        <f>113.2+0.88</f>
        <v>114.08</v>
      </c>
      <c r="F42" s="8">
        <v>89.41</v>
      </c>
      <c r="G42" s="8">
        <v>86.41</v>
      </c>
      <c r="H42" s="8">
        <v>73.01</v>
      </c>
      <c r="I42" s="8">
        <v>70.01</v>
      </c>
      <c r="J42" s="8">
        <f>117+0.83</f>
        <v>117.83</v>
      </c>
      <c r="K42" s="8">
        <v>106.24</v>
      </c>
      <c r="L42" s="8">
        <v>103.24</v>
      </c>
      <c r="M42" s="8">
        <v>97.88</v>
      </c>
      <c r="N42" s="8">
        <v>110.9</v>
      </c>
      <c r="O42" s="8">
        <v>68.09</v>
      </c>
      <c r="P42" s="8">
        <v>55.03</v>
      </c>
      <c r="Q42" s="8">
        <v>52.03</v>
      </c>
      <c r="R42" s="8">
        <v>47.94</v>
      </c>
      <c r="S42" s="8">
        <v>44.94</v>
      </c>
      <c r="T42" s="8">
        <f>52.56+0.86</f>
        <v>53.42</v>
      </c>
      <c r="U42" s="9">
        <f>74.32+0.86</f>
        <v>75.17999999999999</v>
      </c>
    </row>
    <row r="43" spans="1:21" ht="12.75" customHeight="1">
      <c r="A43" s="1">
        <f t="shared" si="0"/>
        <v>37</v>
      </c>
      <c r="B43" s="4" t="s">
        <v>240</v>
      </c>
      <c r="C43" s="8">
        <f>155.6+3.21</f>
        <v>158.81</v>
      </c>
      <c r="D43" s="8">
        <f>143.9+3.1</f>
        <v>147</v>
      </c>
      <c r="E43" s="8">
        <v>116.2</v>
      </c>
      <c r="F43" s="8">
        <v>92.43</v>
      </c>
      <c r="G43" s="8">
        <v>89.43</v>
      </c>
      <c r="H43" s="8">
        <v>75.61</v>
      </c>
      <c r="I43" s="8">
        <v>72.61</v>
      </c>
      <c r="J43" s="8">
        <v>120</v>
      </c>
      <c r="K43" s="8">
        <v>109.27</v>
      </c>
      <c r="L43" s="8">
        <v>106.27</v>
      </c>
      <c r="M43" s="8">
        <v>99.79</v>
      </c>
      <c r="N43" s="8">
        <v>113.9</v>
      </c>
      <c r="O43" s="8">
        <v>69.28</v>
      </c>
      <c r="P43" s="8">
        <v>56.24</v>
      </c>
      <c r="Q43" s="8">
        <v>53.24</v>
      </c>
      <c r="R43" s="8">
        <v>48.98</v>
      </c>
      <c r="S43" s="8">
        <v>45.98</v>
      </c>
      <c r="T43" s="8">
        <f>53.5+1.72</f>
        <v>55.22</v>
      </c>
      <c r="U43" s="9">
        <f>75.26+1.72</f>
        <v>76.98</v>
      </c>
    </row>
    <row r="44" spans="1:21" ht="12.75" customHeight="1">
      <c r="A44" s="1">
        <f t="shared" si="0"/>
        <v>38</v>
      </c>
      <c r="B44" s="4" t="s">
        <v>241</v>
      </c>
      <c r="C44" s="8">
        <f>157.9-2.06</f>
        <v>155.84</v>
      </c>
      <c r="D44" s="8">
        <f>146-1.71</f>
        <v>144.29</v>
      </c>
      <c r="E44" s="8">
        <f>118.6-1.71</f>
        <v>116.89</v>
      </c>
      <c r="F44" s="8">
        <v>94.85</v>
      </c>
      <c r="G44" s="8">
        <v>91.85</v>
      </c>
      <c r="H44" s="8">
        <v>77.7</v>
      </c>
      <c r="I44" s="8">
        <v>74.7</v>
      </c>
      <c r="J44" s="8">
        <f>122.6-1.56</f>
        <v>121.03999999999999</v>
      </c>
      <c r="K44" s="8">
        <v>111.71</v>
      </c>
      <c r="L44" s="8">
        <v>108.71</v>
      </c>
      <c r="M44" s="8">
        <v>103.5</v>
      </c>
      <c r="N44" s="8">
        <v>116.5</v>
      </c>
      <c r="O44" s="8">
        <v>71.31</v>
      </c>
      <c r="P44" s="8">
        <v>58.27</v>
      </c>
      <c r="Q44" s="8">
        <v>55.27</v>
      </c>
      <c r="R44" s="8">
        <v>50.73</v>
      </c>
      <c r="S44" s="8">
        <v>47.73</v>
      </c>
      <c r="T44" s="8">
        <f>54.5-2.08</f>
        <v>52.42</v>
      </c>
      <c r="U44" s="9">
        <f>76.26-2.08</f>
        <v>74.18</v>
      </c>
    </row>
    <row r="45" spans="1:21" ht="12.75" customHeight="1">
      <c r="A45" s="1">
        <f t="shared" si="0"/>
        <v>39</v>
      </c>
      <c r="B45" s="4" t="s">
        <v>242</v>
      </c>
      <c r="C45" s="8">
        <f>160.8-2.67</f>
        <v>158.13000000000002</v>
      </c>
      <c r="D45" s="8">
        <f>148.6-0.7</f>
        <v>147.9</v>
      </c>
      <c r="E45" s="8">
        <f>121.2-1.3</f>
        <v>119.9</v>
      </c>
      <c r="F45" s="8">
        <v>97</v>
      </c>
      <c r="G45" s="8">
        <v>94</v>
      </c>
      <c r="H45" s="8">
        <v>79.55</v>
      </c>
      <c r="I45" s="8">
        <v>76.55</v>
      </c>
      <c r="J45" s="8">
        <f>125.2-1.17</f>
        <v>124.03</v>
      </c>
      <c r="K45" s="8">
        <v>113.85</v>
      </c>
      <c r="L45" s="8">
        <v>110.85</v>
      </c>
      <c r="M45" s="8">
        <v>106.39</v>
      </c>
      <c r="N45" s="8">
        <v>118.5</v>
      </c>
      <c r="O45" s="8">
        <v>72.31</v>
      </c>
      <c r="P45" s="8">
        <v>59.67</v>
      </c>
      <c r="Q45" s="8">
        <v>56.67</v>
      </c>
      <c r="R45" s="8">
        <v>51.94</v>
      </c>
      <c r="S45" s="8">
        <v>48.94</v>
      </c>
      <c r="T45" s="8">
        <f>55.75-2.32</f>
        <v>53.43</v>
      </c>
      <c r="U45" s="9">
        <f>77.51-2.32</f>
        <v>75.19000000000001</v>
      </c>
    </row>
    <row r="46" spans="1:21" ht="12.75" customHeight="1">
      <c r="A46" s="1">
        <f t="shared" si="0"/>
        <v>40</v>
      </c>
      <c r="B46" s="4" t="s">
        <v>243</v>
      </c>
      <c r="C46" s="8">
        <f>156.4-1.71</f>
        <v>154.69</v>
      </c>
      <c r="D46" s="8">
        <f>146.8-1.7</f>
        <v>145.10000000000002</v>
      </c>
      <c r="E46" s="8">
        <f>120.6-0.89</f>
        <v>119.71</v>
      </c>
      <c r="F46" s="8">
        <v>96.48</v>
      </c>
      <c r="G46" s="8">
        <v>93.48</v>
      </c>
      <c r="H46" s="8">
        <v>79.1</v>
      </c>
      <c r="I46" s="8">
        <v>76.1</v>
      </c>
      <c r="J46" s="8">
        <f>124.5-0.75</f>
        <v>123.75</v>
      </c>
      <c r="K46" s="8">
        <v>113.11</v>
      </c>
      <c r="L46" s="8">
        <v>110.11</v>
      </c>
      <c r="M46" s="8">
        <v>104.4</v>
      </c>
      <c r="N46" s="8">
        <v>118.2</v>
      </c>
      <c r="O46" s="8">
        <v>72.8</v>
      </c>
      <c r="P46" s="8">
        <v>59.74</v>
      </c>
      <c r="Q46" s="8">
        <v>56.74</v>
      </c>
      <c r="R46" s="8">
        <v>52</v>
      </c>
      <c r="S46" s="8">
        <v>49</v>
      </c>
      <c r="T46" s="8">
        <f>56.3-1.72</f>
        <v>54.58</v>
      </c>
      <c r="U46" s="9">
        <f>78.06-1.72</f>
        <v>76.34</v>
      </c>
    </row>
    <row r="47" spans="1:21" ht="12.75" customHeight="1">
      <c r="A47" s="1">
        <f t="shared" si="0"/>
        <v>41</v>
      </c>
      <c r="B47" s="4" t="s">
        <v>244</v>
      </c>
      <c r="C47" s="8">
        <f>152.8-0.9</f>
        <v>151.9</v>
      </c>
      <c r="D47" s="8">
        <f>143-0.85</f>
        <v>142.15</v>
      </c>
      <c r="E47" s="8">
        <f>120-0.66</f>
        <v>119.34</v>
      </c>
      <c r="F47" s="8">
        <v>95.99</v>
      </c>
      <c r="G47" s="8">
        <v>92.99</v>
      </c>
      <c r="H47" s="8">
        <v>78.68</v>
      </c>
      <c r="I47" s="8">
        <v>75.68</v>
      </c>
      <c r="J47" s="8">
        <f>123.8-0.62</f>
        <v>123.17999999999999</v>
      </c>
      <c r="K47" s="8">
        <v>112.47</v>
      </c>
      <c r="L47" s="8">
        <v>109.47</v>
      </c>
      <c r="M47" s="8">
        <v>103.59</v>
      </c>
      <c r="N47" s="8">
        <v>117.6</v>
      </c>
      <c r="O47" s="8">
        <v>73.46</v>
      </c>
      <c r="P47" s="8">
        <v>60.42</v>
      </c>
      <c r="Q47" s="8">
        <v>57.42</v>
      </c>
      <c r="R47" s="8">
        <v>52.58</v>
      </c>
      <c r="S47" s="8">
        <v>49.58</v>
      </c>
      <c r="T47" s="8">
        <f>57.2-1.1</f>
        <v>56.1</v>
      </c>
      <c r="U47" s="9">
        <f>78.96-1.1</f>
        <v>77.86</v>
      </c>
    </row>
    <row r="48" spans="1:21" ht="12.75" customHeight="1">
      <c r="A48" s="1">
        <f t="shared" si="0"/>
        <v>42</v>
      </c>
      <c r="B48" s="4" t="s">
        <v>245</v>
      </c>
      <c r="C48" s="8">
        <v>154.2</v>
      </c>
      <c r="D48" s="8">
        <v>142.8</v>
      </c>
      <c r="E48" s="8">
        <v>120.5</v>
      </c>
      <c r="F48" s="8">
        <v>96.65</v>
      </c>
      <c r="G48" s="8">
        <v>93.65</v>
      </c>
      <c r="H48" s="8">
        <v>79.25</v>
      </c>
      <c r="I48" s="8">
        <v>76.25</v>
      </c>
      <c r="J48" s="8">
        <v>124.2</v>
      </c>
      <c r="K48" s="8">
        <v>113.5</v>
      </c>
      <c r="L48" s="8">
        <v>110.5</v>
      </c>
      <c r="M48" s="8">
        <v>103.13</v>
      </c>
      <c r="N48" s="8">
        <v>117.1</v>
      </c>
      <c r="O48" s="8">
        <v>73.69</v>
      </c>
      <c r="P48" s="8">
        <v>60.64</v>
      </c>
      <c r="Q48" s="8">
        <v>57.64</v>
      </c>
      <c r="R48" s="8">
        <v>52.77</v>
      </c>
      <c r="S48" s="8">
        <v>49.77</v>
      </c>
      <c r="T48" s="8">
        <v>59.28</v>
      </c>
      <c r="U48" s="9">
        <v>81.04</v>
      </c>
    </row>
    <row r="49" spans="1:21" ht="12.75" customHeight="1">
      <c r="A49" s="1">
        <f t="shared" si="0"/>
        <v>43</v>
      </c>
      <c r="B49" s="4" t="s">
        <v>246</v>
      </c>
      <c r="C49" s="8">
        <v>162.8</v>
      </c>
      <c r="D49" s="8">
        <v>150.7</v>
      </c>
      <c r="E49" s="8">
        <v>127.8</v>
      </c>
      <c r="F49" s="8">
        <v>102.23</v>
      </c>
      <c r="G49" s="8">
        <v>99.23</v>
      </c>
      <c r="H49" s="8">
        <v>84.06</v>
      </c>
      <c r="I49" s="8">
        <v>81.06</v>
      </c>
      <c r="J49" s="8">
        <v>131.5</v>
      </c>
      <c r="K49" s="8">
        <v>119.07</v>
      </c>
      <c r="L49" s="8">
        <v>116.07</v>
      </c>
      <c r="M49" s="8">
        <v>108.87</v>
      </c>
      <c r="N49" s="8">
        <v>124</v>
      </c>
      <c r="O49" s="8">
        <v>80.39</v>
      </c>
      <c r="P49" s="8">
        <v>66.19</v>
      </c>
      <c r="Q49" s="8">
        <v>63.19</v>
      </c>
      <c r="R49" s="8">
        <v>57.56</v>
      </c>
      <c r="S49" s="8">
        <v>54.56</v>
      </c>
      <c r="T49" s="8">
        <v>59.84</v>
      </c>
      <c r="U49" s="9">
        <v>81.6</v>
      </c>
    </row>
    <row r="50" spans="1:21" ht="12.75" customHeight="1">
      <c r="A50" s="1">
        <f t="shared" si="0"/>
        <v>44</v>
      </c>
      <c r="B50" s="4" t="s">
        <v>247</v>
      </c>
      <c r="C50" s="8">
        <v>160.3</v>
      </c>
      <c r="D50" s="8">
        <v>148.7</v>
      </c>
      <c r="E50" s="8">
        <v>127.1</v>
      </c>
      <c r="F50" s="8">
        <v>101.57</v>
      </c>
      <c r="G50" s="8">
        <v>98.57</v>
      </c>
      <c r="H50" s="8">
        <v>83.49</v>
      </c>
      <c r="I50" s="8">
        <v>80.49</v>
      </c>
      <c r="J50" s="8">
        <v>130.9</v>
      </c>
      <c r="K50" s="8">
        <v>118.46</v>
      </c>
      <c r="L50" s="8">
        <v>115.46</v>
      </c>
      <c r="M50" s="8">
        <v>108.62</v>
      </c>
      <c r="N50" s="8">
        <v>123.1</v>
      </c>
      <c r="O50" s="8">
        <v>79.41</v>
      </c>
      <c r="P50" s="8">
        <v>65.25</v>
      </c>
      <c r="Q50" s="8">
        <v>62.25</v>
      </c>
      <c r="R50" s="8">
        <v>56.75</v>
      </c>
      <c r="S50" s="8">
        <v>53.75</v>
      </c>
      <c r="T50" s="8">
        <v>59.95</v>
      </c>
      <c r="U50" s="9">
        <v>81.71</v>
      </c>
    </row>
    <row r="51" spans="1:21" ht="12.75" customHeight="1">
      <c r="A51" s="1">
        <f t="shared" si="0"/>
        <v>45</v>
      </c>
      <c r="B51" s="4" t="s">
        <v>248</v>
      </c>
      <c r="C51" s="8">
        <v>161.5</v>
      </c>
      <c r="D51" s="8">
        <v>149.6</v>
      </c>
      <c r="E51" s="8">
        <v>127.1</v>
      </c>
      <c r="F51" s="8">
        <v>101.57</v>
      </c>
      <c r="G51" s="8">
        <v>98.57</v>
      </c>
      <c r="H51" s="8">
        <v>83.49</v>
      </c>
      <c r="I51" s="8">
        <v>80.49</v>
      </c>
      <c r="J51" s="8">
        <v>130.9</v>
      </c>
      <c r="K51" s="8">
        <v>118.46</v>
      </c>
      <c r="L51" s="8">
        <v>115.46</v>
      </c>
      <c r="M51" s="8">
        <v>108.62</v>
      </c>
      <c r="N51" s="8">
        <v>123.1</v>
      </c>
      <c r="O51" s="8">
        <v>79.41</v>
      </c>
      <c r="P51" s="8">
        <v>65.25</v>
      </c>
      <c r="Q51" s="8">
        <v>62.25</v>
      </c>
      <c r="R51" s="8">
        <v>56.75</v>
      </c>
      <c r="S51" s="8">
        <v>53.75</v>
      </c>
      <c r="T51" s="8">
        <v>59.95</v>
      </c>
      <c r="U51" s="9">
        <v>81.71</v>
      </c>
    </row>
    <row r="52" spans="1:21" ht="12.75" customHeight="1">
      <c r="A52" s="1">
        <f t="shared" si="0"/>
        <v>46</v>
      </c>
      <c r="B52" s="4" t="s">
        <v>249</v>
      </c>
      <c r="C52" s="8">
        <v>165.4</v>
      </c>
      <c r="D52" s="8">
        <v>154.2</v>
      </c>
      <c r="E52" s="8">
        <v>131.9</v>
      </c>
      <c r="F52" s="8">
        <v>107.25</v>
      </c>
      <c r="G52" s="8">
        <v>104.25</v>
      </c>
      <c r="H52" s="8">
        <v>88.39</v>
      </c>
      <c r="I52" s="8">
        <v>85.39</v>
      </c>
      <c r="J52" s="8">
        <v>135.7</v>
      </c>
      <c r="K52" s="8">
        <v>124.13</v>
      </c>
      <c r="L52" s="8">
        <v>121.13</v>
      </c>
      <c r="M52" s="8">
        <v>114.54</v>
      </c>
      <c r="N52" s="8">
        <v>128.7</v>
      </c>
      <c r="O52" s="8">
        <v>84.34</v>
      </c>
      <c r="P52" s="8">
        <v>70.73</v>
      </c>
      <c r="Q52" s="8">
        <v>67.73</v>
      </c>
      <c r="R52" s="8">
        <v>61.47</v>
      </c>
      <c r="S52" s="8">
        <v>58.47</v>
      </c>
      <c r="T52" s="8">
        <v>59.95</v>
      </c>
      <c r="U52" s="9">
        <v>81.71</v>
      </c>
    </row>
    <row r="53" spans="1:21" ht="12.75" customHeight="1">
      <c r="A53" s="1">
        <f t="shared" si="0"/>
        <v>47</v>
      </c>
      <c r="B53" s="4" t="s">
        <v>250</v>
      </c>
      <c r="C53" s="8">
        <v>167.1</v>
      </c>
      <c r="D53" s="8">
        <v>156.5</v>
      </c>
      <c r="E53" s="8">
        <v>133.1</v>
      </c>
      <c r="F53" s="8">
        <v>109.11</v>
      </c>
      <c r="G53" s="8">
        <v>106.11</v>
      </c>
      <c r="H53" s="8">
        <v>89.99</v>
      </c>
      <c r="I53" s="8">
        <v>86.99</v>
      </c>
      <c r="J53" s="8">
        <v>137</v>
      </c>
      <c r="K53" s="8">
        <v>125.97</v>
      </c>
      <c r="L53" s="8">
        <v>122.97</v>
      </c>
      <c r="M53" s="8">
        <v>118.01</v>
      </c>
      <c r="N53" s="8">
        <v>132.3</v>
      </c>
      <c r="O53" s="8">
        <v>87.41</v>
      </c>
      <c r="P53" s="8">
        <v>74.36</v>
      </c>
      <c r="Q53" s="8">
        <v>71.36</v>
      </c>
      <c r="R53" s="8">
        <v>64.6</v>
      </c>
      <c r="S53" s="8">
        <v>61.6</v>
      </c>
      <c r="T53" s="8">
        <v>59.95</v>
      </c>
      <c r="U53" s="9">
        <v>81.71</v>
      </c>
    </row>
    <row r="54" spans="1:21" ht="12.75" customHeight="1">
      <c r="A54" s="1">
        <f t="shared" si="0"/>
        <v>48</v>
      </c>
      <c r="B54" s="4" t="s">
        <v>251</v>
      </c>
      <c r="C54" s="8">
        <v>167.4</v>
      </c>
      <c r="D54" s="8">
        <v>157.6</v>
      </c>
      <c r="E54" s="8">
        <v>136.2</v>
      </c>
      <c r="F54" s="8">
        <v>112.23</v>
      </c>
      <c r="G54" s="8">
        <v>109.23</v>
      </c>
      <c r="H54" s="8">
        <v>92.68</v>
      </c>
      <c r="I54" s="8">
        <v>89.68</v>
      </c>
      <c r="J54" s="8">
        <v>140</v>
      </c>
      <c r="K54" s="8">
        <v>129.1</v>
      </c>
      <c r="L54" s="8">
        <v>126.1</v>
      </c>
      <c r="M54" s="8">
        <v>121.71</v>
      </c>
      <c r="N54" s="8">
        <v>136</v>
      </c>
      <c r="O54" s="8">
        <v>87.47</v>
      </c>
      <c r="P54" s="8">
        <v>74.43</v>
      </c>
      <c r="Q54" s="8">
        <v>71.43</v>
      </c>
      <c r="R54" s="8">
        <v>64.66</v>
      </c>
      <c r="S54" s="8">
        <v>61.66</v>
      </c>
      <c r="T54" s="8">
        <v>59.95</v>
      </c>
      <c r="U54" s="9">
        <v>81.71</v>
      </c>
    </row>
    <row r="55" spans="1:21" ht="12.75" customHeight="1">
      <c r="A55" s="1">
        <f t="shared" si="0"/>
        <v>49</v>
      </c>
      <c r="B55" s="4" t="s">
        <v>252</v>
      </c>
      <c r="C55" s="8">
        <v>165.8</v>
      </c>
      <c r="D55" s="8">
        <v>156.2</v>
      </c>
      <c r="E55" s="8">
        <v>136.2</v>
      </c>
      <c r="F55" s="8">
        <v>112.23</v>
      </c>
      <c r="G55" s="8">
        <v>109.23</v>
      </c>
      <c r="H55" s="8">
        <v>92.68</v>
      </c>
      <c r="I55" s="8">
        <v>89.68</v>
      </c>
      <c r="J55" s="8">
        <v>140</v>
      </c>
      <c r="K55" s="8">
        <v>129.1</v>
      </c>
      <c r="L55" s="8">
        <v>126.1</v>
      </c>
      <c r="M55" s="8">
        <v>121.51</v>
      </c>
      <c r="N55" s="8">
        <v>136.1</v>
      </c>
      <c r="O55" s="8">
        <v>83.87</v>
      </c>
      <c r="P55" s="8">
        <v>70.83</v>
      </c>
      <c r="Q55" s="8">
        <v>67.83</v>
      </c>
      <c r="R55" s="8">
        <v>61.56</v>
      </c>
      <c r="S55" s="8">
        <v>58.56</v>
      </c>
      <c r="T55" s="8">
        <v>59.95</v>
      </c>
      <c r="U55" s="9">
        <v>81.71</v>
      </c>
    </row>
    <row r="56" spans="1:21" ht="12.75" customHeight="1">
      <c r="A56" s="1">
        <f t="shared" si="0"/>
        <v>50</v>
      </c>
      <c r="B56" s="4" t="s">
        <v>253</v>
      </c>
      <c r="C56" s="8">
        <v>161.8</v>
      </c>
      <c r="D56" s="8">
        <v>152.6</v>
      </c>
      <c r="E56" s="8">
        <v>134.7</v>
      </c>
      <c r="F56" s="8">
        <v>110.76</v>
      </c>
      <c r="G56" s="8">
        <v>107.76</v>
      </c>
      <c r="H56" s="8">
        <v>91.41</v>
      </c>
      <c r="I56" s="8">
        <v>88.41</v>
      </c>
      <c r="J56" s="8">
        <v>138.4</v>
      </c>
      <c r="K56" s="8">
        <v>127.61</v>
      </c>
      <c r="L56" s="8">
        <v>124.61</v>
      </c>
      <c r="M56" s="8">
        <v>118.38</v>
      </c>
      <c r="N56" s="8">
        <v>133</v>
      </c>
      <c r="O56" s="8">
        <v>82.4</v>
      </c>
      <c r="P56" s="8">
        <v>69.35</v>
      </c>
      <c r="Q56" s="8">
        <v>66.35</v>
      </c>
      <c r="R56" s="8">
        <v>60.28</v>
      </c>
      <c r="S56" s="8">
        <v>57.28</v>
      </c>
      <c r="T56" s="8">
        <v>59.95</v>
      </c>
      <c r="U56" s="9">
        <v>81.71</v>
      </c>
    </row>
    <row r="57" spans="1:21" ht="12.75" customHeight="1">
      <c r="A57" s="1">
        <f t="shared" si="0"/>
        <v>51</v>
      </c>
      <c r="B57" s="4" t="s">
        <v>254</v>
      </c>
      <c r="C57" s="8">
        <v>161.4</v>
      </c>
      <c r="D57" s="8">
        <v>152.2</v>
      </c>
      <c r="E57" s="8">
        <v>134.2</v>
      </c>
      <c r="F57" s="8">
        <v>110.42</v>
      </c>
      <c r="G57" s="8">
        <v>107.42</v>
      </c>
      <c r="H57" s="8">
        <v>91.12</v>
      </c>
      <c r="I57" s="8">
        <v>88.12</v>
      </c>
      <c r="J57" s="8">
        <v>138</v>
      </c>
      <c r="K57" s="8">
        <v>127.27</v>
      </c>
      <c r="L57" s="8">
        <v>124.27</v>
      </c>
      <c r="M57" s="8">
        <v>116.75</v>
      </c>
      <c r="N57" s="8">
        <v>131.3</v>
      </c>
      <c r="O57" s="8">
        <v>82.17</v>
      </c>
      <c r="P57" s="8">
        <v>69.12</v>
      </c>
      <c r="Q57" s="8">
        <v>66.12</v>
      </c>
      <c r="R57" s="8">
        <v>60.08</v>
      </c>
      <c r="S57" s="8">
        <v>57.08</v>
      </c>
      <c r="T57" s="8">
        <v>59.95</v>
      </c>
      <c r="U57" s="9">
        <v>81.71</v>
      </c>
    </row>
    <row r="58" spans="1:21" ht="12.75" customHeight="1">
      <c r="A58" s="1">
        <f t="shared" si="0"/>
        <v>52</v>
      </c>
      <c r="B58" s="4" t="s">
        <v>255</v>
      </c>
      <c r="C58" s="8">
        <v>161.2</v>
      </c>
      <c r="D58" s="8">
        <v>152.1</v>
      </c>
      <c r="E58" s="8">
        <v>136.5</v>
      </c>
      <c r="F58" s="8">
        <v>112.71</v>
      </c>
      <c r="G58" s="8">
        <v>109.71</v>
      </c>
      <c r="H58" s="8">
        <v>93.09</v>
      </c>
      <c r="I58" s="8">
        <v>90.09</v>
      </c>
      <c r="J58" s="8">
        <v>140.3</v>
      </c>
      <c r="K58" s="8">
        <v>129.55</v>
      </c>
      <c r="L58" s="8">
        <v>126.55</v>
      </c>
      <c r="M58" s="8">
        <v>116.47</v>
      </c>
      <c r="N58" s="8">
        <v>131</v>
      </c>
      <c r="O58" s="8">
        <v>82.73</v>
      </c>
      <c r="P58" s="8">
        <v>69.69</v>
      </c>
      <c r="Q58" s="8">
        <v>66.69</v>
      </c>
      <c r="R58" s="8">
        <v>60.57</v>
      </c>
      <c r="S58" s="8">
        <v>57.57</v>
      </c>
      <c r="T58" s="8">
        <v>59.95</v>
      </c>
      <c r="U58" s="12">
        <v>81.71</v>
      </c>
    </row>
    <row r="59" spans="2:21" ht="13.5" thickBot="1">
      <c r="B59" s="2" t="s">
        <v>65</v>
      </c>
      <c r="C59" s="16">
        <f>SUM(C7:C58)/52</f>
        <v>152.39663461538458</v>
      </c>
      <c r="D59" s="16">
        <f aca="true" t="shared" si="1" ref="D59:U59">SUM(D7:D58)/52</f>
        <v>141.2953846153846</v>
      </c>
      <c r="E59" s="16">
        <f t="shared" si="1"/>
        <v>112.8523076923077</v>
      </c>
      <c r="F59" s="16">
        <f t="shared" si="1"/>
        <v>89.08230769230771</v>
      </c>
      <c r="G59" s="16">
        <f t="shared" si="1"/>
        <v>86.08269230769231</v>
      </c>
      <c r="H59" s="16">
        <f t="shared" si="1"/>
        <v>72.85499999999998</v>
      </c>
      <c r="I59" s="16">
        <f t="shared" si="1"/>
        <v>69.85499999999998</v>
      </c>
      <c r="J59" s="16">
        <f t="shared" si="1"/>
        <v>116.55115384615381</v>
      </c>
      <c r="K59" s="16">
        <f t="shared" si="1"/>
        <v>105.60961538461541</v>
      </c>
      <c r="L59" s="16">
        <f t="shared" si="1"/>
        <v>102.60384615384618</v>
      </c>
      <c r="M59" s="16">
        <f t="shared" si="1"/>
        <v>96.36500000000001</v>
      </c>
      <c r="N59" s="16">
        <f t="shared" si="1"/>
        <v>110.41807692307695</v>
      </c>
      <c r="O59" s="16">
        <f t="shared" si="1"/>
        <v>67.43096153846153</v>
      </c>
      <c r="P59" s="16">
        <f t="shared" si="1"/>
        <v>54.58403846153845</v>
      </c>
      <c r="Q59" s="16">
        <f t="shared" si="1"/>
        <v>51.58980769230769</v>
      </c>
      <c r="R59" s="16">
        <f t="shared" si="1"/>
        <v>47.574615384615385</v>
      </c>
      <c r="S59" s="16">
        <f t="shared" si="1"/>
        <v>44.613076923076925</v>
      </c>
      <c r="T59" s="16">
        <f t="shared" si="1"/>
        <v>51.066923076923054</v>
      </c>
      <c r="U59" s="16">
        <f t="shared" si="1"/>
        <v>72.83788461538461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4" width="9.00390625" style="0" bestFit="1" customWidth="1"/>
    <col min="5" max="5" width="8.1406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7.8515625" style="0" customWidth="1"/>
    <col min="11" max="11" width="7.421875" style="0" customWidth="1"/>
    <col min="12" max="12" width="7.7109375" style="0" bestFit="1" customWidth="1"/>
    <col min="13" max="13" width="6.7109375" style="0" bestFit="1" customWidth="1"/>
    <col min="14" max="14" width="8.7109375" style="0" bestFit="1" customWidth="1"/>
    <col min="15" max="15" width="6.57421875" style="0" bestFit="1" customWidth="1"/>
    <col min="16" max="16" width="7.57421875" style="0" customWidth="1"/>
    <col min="17" max="17" width="8.00390625" style="0" customWidth="1"/>
    <col min="18" max="18" width="8.28125" style="0" customWidth="1"/>
    <col min="19" max="19" width="7.8515625" style="0" customWidth="1"/>
    <col min="20" max="22" width="5.57421875" style="0" bestFit="1" customWidth="1"/>
  </cols>
  <sheetData>
    <row r="1" spans="1:21" ht="18">
      <c r="A1" s="131" t="s">
        <v>711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7" t="s">
        <v>951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ht="12.75">
      <c r="A3" s="132" t="s">
        <v>712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210</v>
      </c>
      <c r="C5" s="138" t="s">
        <v>16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</row>
    <row r="6" spans="2:22" ht="48" customHeight="1">
      <c r="B6" s="15" t="s">
        <v>919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652</v>
      </c>
      <c r="U6" s="15" t="s">
        <v>653</v>
      </c>
      <c r="V6" s="15" t="s">
        <v>648</v>
      </c>
    </row>
    <row r="7" spans="1:22" ht="12.75">
      <c r="A7" s="1">
        <f>1</f>
        <v>1</v>
      </c>
      <c r="B7" s="3" t="s">
        <v>211</v>
      </c>
      <c r="C7" s="5">
        <v>164.6</v>
      </c>
      <c r="D7" s="5">
        <v>154.8</v>
      </c>
      <c r="E7" s="5">
        <v>137.5</v>
      </c>
      <c r="F7" s="5">
        <v>114.49</v>
      </c>
      <c r="G7" s="5">
        <v>111.49</v>
      </c>
      <c r="H7" s="5">
        <v>94.63</v>
      </c>
      <c r="I7" s="5">
        <v>91.63</v>
      </c>
      <c r="J7" s="5">
        <v>141.3</v>
      </c>
      <c r="K7" s="5">
        <v>131.33</v>
      </c>
      <c r="L7" s="5">
        <v>128.33</v>
      </c>
      <c r="M7" s="5">
        <v>119.14</v>
      </c>
      <c r="N7" s="5">
        <v>133.2</v>
      </c>
      <c r="O7" s="5">
        <v>84.88</v>
      </c>
      <c r="P7" s="5">
        <v>71.84</v>
      </c>
      <c r="Q7" s="5">
        <v>68.84</v>
      </c>
      <c r="R7" s="5">
        <v>62.43</v>
      </c>
      <c r="S7" s="5">
        <v>59.43</v>
      </c>
      <c r="T7" s="5">
        <v>59.95</v>
      </c>
      <c r="U7" s="6">
        <v>81.71</v>
      </c>
      <c r="V7" s="6">
        <v>0</v>
      </c>
    </row>
    <row r="8" spans="1:22" ht="12.75">
      <c r="A8" s="1">
        <f>A7+1</f>
        <v>2</v>
      </c>
      <c r="B8" s="4" t="s">
        <v>212</v>
      </c>
      <c r="C8" s="8">
        <v>171.2</v>
      </c>
      <c r="D8" s="8">
        <v>159.7</v>
      </c>
      <c r="E8" s="8">
        <v>139.5</v>
      </c>
      <c r="F8" s="8">
        <v>115.75</v>
      </c>
      <c r="G8" s="8">
        <v>112.75</v>
      </c>
      <c r="H8" s="8">
        <v>95.71</v>
      </c>
      <c r="I8" s="8">
        <v>92.71</v>
      </c>
      <c r="J8" s="8">
        <v>143.3</v>
      </c>
      <c r="K8" s="8">
        <v>132.59</v>
      </c>
      <c r="L8" s="8">
        <v>129.59</v>
      </c>
      <c r="M8" s="8">
        <v>123.98</v>
      </c>
      <c r="N8" s="8">
        <v>138</v>
      </c>
      <c r="O8" s="8">
        <v>86.84</v>
      </c>
      <c r="P8" s="8">
        <v>73.8</v>
      </c>
      <c r="Q8" s="8">
        <v>70.8</v>
      </c>
      <c r="R8" s="8">
        <v>64.12</v>
      </c>
      <c r="S8" s="8">
        <v>61.12</v>
      </c>
      <c r="T8" s="8">
        <v>59.95</v>
      </c>
      <c r="U8" s="9">
        <v>81.71</v>
      </c>
      <c r="V8" s="9">
        <v>0</v>
      </c>
    </row>
    <row r="9" spans="1:22" ht="12.75">
      <c r="A9" s="1">
        <f aca="true" t="shared" si="0" ref="A9:A57">A8+1</f>
        <v>3</v>
      </c>
      <c r="B9" s="4" t="s">
        <v>213</v>
      </c>
      <c r="C9" s="8">
        <v>168.8</v>
      </c>
      <c r="D9" s="8">
        <v>158.2</v>
      </c>
      <c r="E9" s="8">
        <v>137.1</v>
      </c>
      <c r="F9" s="8">
        <v>113.29</v>
      </c>
      <c r="G9" s="8">
        <v>110.29</v>
      </c>
      <c r="H9" s="8">
        <v>93.59</v>
      </c>
      <c r="I9" s="8">
        <v>90.59</v>
      </c>
      <c r="J9" s="8">
        <v>140.8</v>
      </c>
      <c r="K9" s="8">
        <v>130.14</v>
      </c>
      <c r="L9" s="8">
        <v>127.14</v>
      </c>
      <c r="M9" s="8">
        <v>119.52</v>
      </c>
      <c r="N9" s="8">
        <v>133.6</v>
      </c>
      <c r="O9" s="8">
        <v>87.17</v>
      </c>
      <c r="P9" s="8">
        <v>74.13</v>
      </c>
      <c r="Q9" s="8">
        <v>71.13</v>
      </c>
      <c r="R9" s="8">
        <v>64.4</v>
      </c>
      <c r="S9" s="8">
        <v>61.4</v>
      </c>
      <c r="T9" s="8">
        <v>59.95</v>
      </c>
      <c r="U9" s="9">
        <v>81.71</v>
      </c>
      <c r="V9" s="9">
        <v>0</v>
      </c>
    </row>
    <row r="10" spans="1:22" ht="12.75">
      <c r="A10" s="1">
        <f t="shared" si="0"/>
        <v>4</v>
      </c>
      <c r="B10" s="4" t="s">
        <v>214</v>
      </c>
      <c r="C10" s="8">
        <v>164.6</v>
      </c>
      <c r="D10" s="8">
        <v>153.9</v>
      </c>
      <c r="E10" s="8">
        <v>134.5</v>
      </c>
      <c r="F10" s="8">
        <v>110.69</v>
      </c>
      <c r="G10" s="8">
        <v>107.69</v>
      </c>
      <c r="H10" s="8">
        <v>91.35</v>
      </c>
      <c r="I10" s="8">
        <v>88.38</v>
      </c>
      <c r="J10" s="8">
        <v>138.2</v>
      </c>
      <c r="K10" s="8">
        <v>127.54</v>
      </c>
      <c r="L10" s="8">
        <v>124.57</v>
      </c>
      <c r="M10" s="8">
        <v>118.86</v>
      </c>
      <c r="N10" s="8">
        <v>133</v>
      </c>
      <c r="O10" s="8">
        <v>84.63</v>
      </c>
      <c r="P10" s="8">
        <v>71.59</v>
      </c>
      <c r="Q10" s="8">
        <v>68.59</v>
      </c>
      <c r="R10" s="8">
        <v>62.21</v>
      </c>
      <c r="S10" s="8">
        <v>59.21</v>
      </c>
      <c r="T10" s="8">
        <v>59.95</v>
      </c>
      <c r="U10" s="9">
        <v>81.71</v>
      </c>
      <c r="V10" s="9">
        <v>0</v>
      </c>
    </row>
    <row r="11" spans="1:22" ht="12.75">
      <c r="A11" s="1">
        <f t="shared" si="0"/>
        <v>5</v>
      </c>
      <c r="B11" s="4" t="s">
        <v>215</v>
      </c>
      <c r="C11" s="8">
        <v>163.1</v>
      </c>
      <c r="D11" s="8">
        <v>152.9</v>
      </c>
      <c r="E11" s="8">
        <v>132.5</v>
      </c>
      <c r="F11" s="8">
        <v>108.72</v>
      </c>
      <c r="G11" s="8">
        <v>105.72</v>
      </c>
      <c r="H11" s="8">
        <v>89.65</v>
      </c>
      <c r="I11" s="8">
        <v>86.65</v>
      </c>
      <c r="J11" s="8">
        <v>136.3</v>
      </c>
      <c r="K11" s="8">
        <v>125.57</v>
      </c>
      <c r="L11" s="8">
        <v>122.57</v>
      </c>
      <c r="M11" s="8">
        <v>114.89</v>
      </c>
      <c r="N11" s="8">
        <v>129</v>
      </c>
      <c r="O11" s="8">
        <v>81.82</v>
      </c>
      <c r="P11" s="8">
        <v>68.77</v>
      </c>
      <c r="Q11" s="8">
        <v>65.77</v>
      </c>
      <c r="R11" s="8">
        <v>59.78</v>
      </c>
      <c r="S11" s="8">
        <v>56.78</v>
      </c>
      <c r="T11" s="8">
        <v>59.95</v>
      </c>
      <c r="U11" s="9">
        <v>81.71</v>
      </c>
      <c r="V11" s="9">
        <v>0</v>
      </c>
    </row>
    <row r="12" spans="1:22" ht="12.75">
      <c r="A12" s="1">
        <f t="shared" si="0"/>
        <v>6</v>
      </c>
      <c r="B12" s="4" t="s">
        <v>216</v>
      </c>
      <c r="C12" s="8">
        <v>166.5</v>
      </c>
      <c r="D12" s="8">
        <v>155.9</v>
      </c>
      <c r="E12" s="8">
        <v>135.4</v>
      </c>
      <c r="F12" s="8">
        <v>111.65</v>
      </c>
      <c r="G12" s="8">
        <v>108.65</v>
      </c>
      <c r="H12" s="8">
        <v>92.18</v>
      </c>
      <c r="I12" s="8">
        <v>89.18</v>
      </c>
      <c r="J12" s="8">
        <v>139.2</v>
      </c>
      <c r="K12" s="8">
        <v>128.52</v>
      </c>
      <c r="L12" s="8">
        <v>125.52</v>
      </c>
      <c r="M12" s="8">
        <v>117.29</v>
      </c>
      <c r="N12" s="8">
        <v>131.8</v>
      </c>
      <c r="O12" s="8">
        <v>84.28</v>
      </c>
      <c r="P12" s="8">
        <v>71.24</v>
      </c>
      <c r="Q12" s="8">
        <v>68.24</v>
      </c>
      <c r="R12" s="8">
        <v>61.91</v>
      </c>
      <c r="S12" s="8">
        <v>58.91</v>
      </c>
      <c r="T12" s="8">
        <v>59.95</v>
      </c>
      <c r="U12" s="9">
        <v>81.71</v>
      </c>
      <c r="V12" s="9">
        <v>0</v>
      </c>
    </row>
    <row r="13" spans="1:22" ht="12.75">
      <c r="A13" s="1">
        <f t="shared" si="0"/>
        <v>7</v>
      </c>
      <c r="B13" s="4" t="s">
        <v>217</v>
      </c>
      <c r="C13" s="8">
        <v>164.2</v>
      </c>
      <c r="D13" s="8">
        <v>153.6</v>
      </c>
      <c r="E13" s="8">
        <v>134.1</v>
      </c>
      <c r="F13" s="8">
        <v>110.32</v>
      </c>
      <c r="G13" s="8">
        <v>107.32</v>
      </c>
      <c r="H13" s="8">
        <v>91.03</v>
      </c>
      <c r="I13" s="8">
        <v>88.03</v>
      </c>
      <c r="J13" s="8">
        <v>137.9</v>
      </c>
      <c r="K13" s="8">
        <v>127.17</v>
      </c>
      <c r="L13" s="8">
        <v>124.17</v>
      </c>
      <c r="M13" s="8">
        <v>116.11</v>
      </c>
      <c r="N13" s="8">
        <v>130.6</v>
      </c>
      <c r="O13" s="8">
        <v>80.78</v>
      </c>
      <c r="P13" s="8">
        <v>67.72</v>
      </c>
      <c r="Q13" s="8">
        <v>64.72</v>
      </c>
      <c r="R13" s="8">
        <v>58.88</v>
      </c>
      <c r="S13" s="8">
        <v>55.88</v>
      </c>
      <c r="T13" s="8">
        <v>59.95</v>
      </c>
      <c r="U13" s="9">
        <v>81.71</v>
      </c>
      <c r="V13" s="9">
        <v>0</v>
      </c>
    </row>
    <row r="14" spans="1:22" ht="12.75">
      <c r="A14" s="1">
        <f t="shared" si="0"/>
        <v>8</v>
      </c>
      <c r="B14" s="4" t="s">
        <v>218</v>
      </c>
      <c r="C14" s="8">
        <v>167.1</v>
      </c>
      <c r="D14" s="8">
        <v>156.3</v>
      </c>
      <c r="E14" s="8">
        <v>137.9</v>
      </c>
      <c r="F14" s="8">
        <v>113.68</v>
      </c>
      <c r="G14" s="8">
        <v>110.68</v>
      </c>
      <c r="H14" s="8">
        <v>93.93</v>
      </c>
      <c r="I14" s="8">
        <v>90.93</v>
      </c>
      <c r="J14" s="8">
        <v>141.7</v>
      </c>
      <c r="K14" s="8">
        <v>130.53</v>
      </c>
      <c r="L14" s="8">
        <v>127.53</v>
      </c>
      <c r="M14" s="8">
        <v>120.64</v>
      </c>
      <c r="N14" s="8">
        <v>133.6</v>
      </c>
      <c r="O14" s="8">
        <v>83.9</v>
      </c>
      <c r="P14" s="8">
        <v>70.85</v>
      </c>
      <c r="Q14" s="8">
        <v>67.85</v>
      </c>
      <c r="R14" s="8">
        <v>61.57</v>
      </c>
      <c r="S14" s="8">
        <v>58.57</v>
      </c>
      <c r="T14" s="8">
        <v>59.95</v>
      </c>
      <c r="U14" s="9">
        <v>81.71</v>
      </c>
      <c r="V14" s="9">
        <v>0</v>
      </c>
    </row>
    <row r="15" spans="1:22" ht="12.75">
      <c r="A15" s="1">
        <f t="shared" si="0"/>
        <v>9</v>
      </c>
      <c r="B15" s="4" t="s">
        <v>219</v>
      </c>
      <c r="C15" s="8">
        <v>170.6</v>
      </c>
      <c r="D15" s="8">
        <v>160.2</v>
      </c>
      <c r="E15" s="8">
        <v>140.3</v>
      </c>
      <c r="F15" s="8">
        <v>116.06</v>
      </c>
      <c r="G15" s="8">
        <v>113.06</v>
      </c>
      <c r="H15" s="8">
        <v>95.98</v>
      </c>
      <c r="I15" s="8">
        <v>92.98</v>
      </c>
      <c r="J15" s="8">
        <v>144.2</v>
      </c>
      <c r="K15" s="8">
        <v>132.91</v>
      </c>
      <c r="L15" s="8">
        <v>129.91</v>
      </c>
      <c r="M15" s="8">
        <v>124.1</v>
      </c>
      <c r="N15" s="8">
        <v>137</v>
      </c>
      <c r="O15" s="8">
        <v>85.94</v>
      </c>
      <c r="P15" s="8">
        <v>72.9</v>
      </c>
      <c r="Q15" s="8">
        <v>69.9</v>
      </c>
      <c r="R15" s="8">
        <v>63.34</v>
      </c>
      <c r="S15" s="8">
        <v>60.34</v>
      </c>
      <c r="T15" s="8">
        <v>59.95</v>
      </c>
      <c r="U15" s="9">
        <v>81.71</v>
      </c>
      <c r="V15" s="9">
        <v>0</v>
      </c>
    </row>
    <row r="16" spans="1:22" ht="12.75">
      <c r="A16" s="1">
        <f t="shared" si="0"/>
        <v>10</v>
      </c>
      <c r="B16" s="4" t="s">
        <v>220</v>
      </c>
      <c r="C16" s="8">
        <v>173.7</v>
      </c>
      <c r="D16" s="8">
        <v>163.7</v>
      </c>
      <c r="E16" s="8">
        <v>143.3</v>
      </c>
      <c r="F16" s="8">
        <v>119.1</v>
      </c>
      <c r="G16" s="8">
        <v>116.1</v>
      </c>
      <c r="H16" s="8">
        <v>98.6</v>
      </c>
      <c r="I16" s="8">
        <v>95.6</v>
      </c>
      <c r="J16" s="8">
        <v>147.2</v>
      </c>
      <c r="K16" s="8">
        <v>135.94</v>
      </c>
      <c r="L16" s="8">
        <v>132.94</v>
      </c>
      <c r="M16" s="8">
        <v>128.62</v>
      </c>
      <c r="N16" s="8">
        <v>142.9</v>
      </c>
      <c r="O16" s="8">
        <v>84.47</v>
      </c>
      <c r="P16" s="8">
        <v>71.41</v>
      </c>
      <c r="Q16" s="8">
        <v>68.41</v>
      </c>
      <c r="R16" s="8">
        <v>62.06</v>
      </c>
      <c r="S16" s="8">
        <v>59.06</v>
      </c>
      <c r="T16" s="8">
        <v>59.95</v>
      </c>
      <c r="U16" s="9">
        <v>81.71</v>
      </c>
      <c r="V16" s="9">
        <v>0</v>
      </c>
    </row>
    <row r="17" spans="1:22" ht="12.75">
      <c r="A17" s="1">
        <f t="shared" si="0"/>
        <v>11</v>
      </c>
      <c r="B17" s="4" t="s">
        <v>221</v>
      </c>
      <c r="C17" s="8">
        <v>177.2</v>
      </c>
      <c r="D17" s="8">
        <v>166.4</v>
      </c>
      <c r="E17" s="8">
        <v>147.3</v>
      </c>
      <c r="F17" s="8">
        <v>123.48</v>
      </c>
      <c r="G17" s="8">
        <v>120.48</v>
      </c>
      <c r="H17" s="8">
        <v>102.38</v>
      </c>
      <c r="I17" s="8">
        <v>99.38</v>
      </c>
      <c r="J17" s="8">
        <v>151.2</v>
      </c>
      <c r="K17" s="8">
        <v>140.32</v>
      </c>
      <c r="L17" s="8">
        <v>137.32</v>
      </c>
      <c r="M17" s="8">
        <v>134.03</v>
      </c>
      <c r="N17" s="8">
        <v>148.3</v>
      </c>
      <c r="O17" s="8">
        <v>87.67</v>
      </c>
      <c r="P17" s="8">
        <v>74.63</v>
      </c>
      <c r="Q17" s="8">
        <v>71.63</v>
      </c>
      <c r="R17" s="8">
        <v>64.83</v>
      </c>
      <c r="S17" s="8">
        <v>61.83</v>
      </c>
      <c r="T17" s="8">
        <v>59.95</v>
      </c>
      <c r="U17" s="9">
        <v>81.71</v>
      </c>
      <c r="V17" s="9">
        <v>0</v>
      </c>
    </row>
    <row r="18" spans="1:22" ht="12.75">
      <c r="A18" s="1">
        <f t="shared" si="0"/>
        <v>12</v>
      </c>
      <c r="B18" s="4" t="s">
        <v>222</v>
      </c>
      <c r="C18" s="8">
        <v>179.5</v>
      </c>
      <c r="D18" s="8">
        <v>169.3</v>
      </c>
      <c r="E18" s="8">
        <v>149.5</v>
      </c>
      <c r="F18" s="8">
        <v>125.85</v>
      </c>
      <c r="G18" s="8">
        <v>122.85</v>
      </c>
      <c r="H18" s="8">
        <v>104.42</v>
      </c>
      <c r="I18" s="8">
        <v>101.42</v>
      </c>
      <c r="J18" s="8">
        <v>153.5</v>
      </c>
      <c r="K18" s="8">
        <v>142.83</v>
      </c>
      <c r="L18" s="8">
        <v>139.83</v>
      </c>
      <c r="M18" s="8">
        <v>137.21</v>
      </c>
      <c r="N18" s="8">
        <v>151.9</v>
      </c>
      <c r="O18" s="8">
        <v>88.07</v>
      </c>
      <c r="P18" s="8">
        <v>75.03</v>
      </c>
      <c r="Q18" s="8">
        <v>72.03</v>
      </c>
      <c r="R18" s="8">
        <v>65.18</v>
      </c>
      <c r="S18" s="8">
        <v>62.18</v>
      </c>
      <c r="T18" s="8">
        <v>59.95</v>
      </c>
      <c r="U18" s="9">
        <v>81.71</v>
      </c>
      <c r="V18" s="9">
        <v>0</v>
      </c>
    </row>
    <row r="19" spans="1:22" ht="12.75">
      <c r="A19" s="1">
        <f t="shared" si="0"/>
        <v>13</v>
      </c>
      <c r="B19" s="4" t="s">
        <v>223</v>
      </c>
      <c r="C19" s="17">
        <v>178.7</v>
      </c>
      <c r="D19" s="17">
        <v>168.5</v>
      </c>
      <c r="E19" s="17">
        <v>152.2</v>
      </c>
      <c r="F19" s="17">
        <v>128.39</v>
      </c>
      <c r="G19" s="17">
        <v>125.39</v>
      </c>
      <c r="H19" s="17">
        <v>106.61</v>
      </c>
      <c r="I19" s="17">
        <v>103.61</v>
      </c>
      <c r="J19" s="17">
        <v>156.2</v>
      </c>
      <c r="K19" s="17">
        <v>145.54</v>
      </c>
      <c r="L19" s="17">
        <v>142.54</v>
      </c>
      <c r="M19" s="17">
        <v>143.62</v>
      </c>
      <c r="N19" s="17">
        <v>158.5</v>
      </c>
      <c r="O19" s="17">
        <v>87.4</v>
      </c>
      <c r="P19" s="17">
        <v>74.36</v>
      </c>
      <c r="Q19" s="17">
        <v>71.36</v>
      </c>
      <c r="R19" s="17">
        <v>64.6</v>
      </c>
      <c r="S19" s="17">
        <v>61.6</v>
      </c>
      <c r="T19" s="17">
        <v>59.95</v>
      </c>
      <c r="U19" s="18">
        <v>81.71</v>
      </c>
      <c r="V19" s="18">
        <v>0</v>
      </c>
    </row>
    <row r="20" spans="1:22" ht="12.75">
      <c r="A20" s="1">
        <f t="shared" si="0"/>
        <v>14</v>
      </c>
      <c r="B20" s="4" t="s">
        <v>224</v>
      </c>
      <c r="C20" s="8">
        <v>181.3</v>
      </c>
      <c r="D20" s="8">
        <v>170.4</v>
      </c>
      <c r="E20" s="8">
        <v>152.6</v>
      </c>
      <c r="F20" s="8">
        <v>128.88</v>
      </c>
      <c r="G20" s="8">
        <v>125.88</v>
      </c>
      <c r="H20" s="8">
        <v>107.03</v>
      </c>
      <c r="I20" s="8">
        <v>104.03</v>
      </c>
      <c r="J20" s="8">
        <v>156.5</v>
      </c>
      <c r="K20" s="8">
        <v>145.85</v>
      </c>
      <c r="L20" s="8">
        <v>142.85</v>
      </c>
      <c r="M20" s="8">
        <v>140.02</v>
      </c>
      <c r="N20" s="8">
        <v>154.4</v>
      </c>
      <c r="O20" s="8">
        <v>87.22</v>
      </c>
      <c r="P20" s="8">
        <v>74.17</v>
      </c>
      <c r="Q20" s="8">
        <v>71.17</v>
      </c>
      <c r="R20" s="8">
        <v>64.44</v>
      </c>
      <c r="S20" s="8">
        <v>61.44</v>
      </c>
      <c r="T20" s="8">
        <v>59.95</v>
      </c>
      <c r="U20" s="9">
        <v>81.71</v>
      </c>
      <c r="V20" s="9">
        <v>0</v>
      </c>
    </row>
    <row r="21" spans="1:22" ht="12.75">
      <c r="A21" s="1">
        <f t="shared" si="0"/>
        <v>15</v>
      </c>
      <c r="B21" s="4" t="s">
        <v>225</v>
      </c>
      <c r="C21" s="8">
        <v>180.9</v>
      </c>
      <c r="D21" s="8">
        <v>170</v>
      </c>
      <c r="E21" s="8">
        <v>151.9</v>
      </c>
      <c r="F21" s="8">
        <v>128.15</v>
      </c>
      <c r="G21" s="8">
        <v>125.15</v>
      </c>
      <c r="H21" s="8">
        <v>106.4</v>
      </c>
      <c r="I21" s="8">
        <v>103.4</v>
      </c>
      <c r="J21" s="8">
        <v>155.8</v>
      </c>
      <c r="K21" s="8">
        <v>145.1</v>
      </c>
      <c r="L21" s="8">
        <v>142.1</v>
      </c>
      <c r="M21" s="8">
        <v>137.23</v>
      </c>
      <c r="N21" s="8">
        <v>152.1</v>
      </c>
      <c r="O21" s="8">
        <v>86.68</v>
      </c>
      <c r="P21" s="8">
        <v>73.64</v>
      </c>
      <c r="Q21" s="8">
        <v>70.64</v>
      </c>
      <c r="R21" s="8">
        <v>63.98</v>
      </c>
      <c r="S21" s="8">
        <v>60.98</v>
      </c>
      <c r="T21" s="8">
        <v>59.95</v>
      </c>
      <c r="U21" s="9">
        <v>81.71</v>
      </c>
      <c r="V21" s="9">
        <v>0</v>
      </c>
    </row>
    <row r="22" spans="1:22" ht="12.75">
      <c r="A22" s="1">
        <f t="shared" si="0"/>
        <v>16</v>
      </c>
      <c r="B22" s="4" t="s">
        <v>226</v>
      </c>
      <c r="C22" s="8">
        <v>183.7</v>
      </c>
      <c r="D22" s="8">
        <v>172.1</v>
      </c>
      <c r="E22" s="8">
        <v>154.1</v>
      </c>
      <c r="F22" s="8">
        <v>130.29</v>
      </c>
      <c r="G22" s="8">
        <v>127.29</v>
      </c>
      <c r="H22" s="8">
        <v>108.25</v>
      </c>
      <c r="I22" s="8">
        <v>105.25</v>
      </c>
      <c r="J22" s="8">
        <v>158</v>
      </c>
      <c r="K22" s="8">
        <v>147.26</v>
      </c>
      <c r="L22" s="8">
        <v>144.26</v>
      </c>
      <c r="M22" s="8">
        <v>148.06</v>
      </c>
      <c r="N22" s="8">
        <v>162.9</v>
      </c>
      <c r="O22" s="8">
        <v>90.43</v>
      </c>
      <c r="P22" s="8">
        <v>77.39</v>
      </c>
      <c r="Q22" s="8">
        <v>74.39</v>
      </c>
      <c r="R22" s="8">
        <v>67.21</v>
      </c>
      <c r="S22" s="8">
        <v>64.21</v>
      </c>
      <c r="T22" s="8">
        <v>59.95</v>
      </c>
      <c r="U22" s="9">
        <v>81.71</v>
      </c>
      <c r="V22" s="9">
        <v>0</v>
      </c>
    </row>
    <row r="23" spans="1:22" ht="12.75">
      <c r="A23" s="1">
        <f t="shared" si="0"/>
        <v>17</v>
      </c>
      <c r="B23" s="4" t="s">
        <v>227</v>
      </c>
      <c r="C23" s="8">
        <v>186.3</v>
      </c>
      <c r="D23" s="8">
        <v>175</v>
      </c>
      <c r="E23" s="8">
        <v>155.1</v>
      </c>
      <c r="F23" s="8">
        <v>132.16</v>
      </c>
      <c r="G23" s="8">
        <v>129.16</v>
      </c>
      <c r="H23" s="8">
        <v>109.86</v>
      </c>
      <c r="I23" s="8">
        <v>106.86</v>
      </c>
      <c r="J23" s="8">
        <v>159</v>
      </c>
      <c r="K23" s="8">
        <v>149.13</v>
      </c>
      <c r="L23" s="8">
        <v>146.13</v>
      </c>
      <c r="M23" s="8">
        <v>153.36</v>
      </c>
      <c r="N23" s="8">
        <v>168.2</v>
      </c>
      <c r="O23" s="8">
        <v>92.66</v>
      </c>
      <c r="P23" s="8">
        <v>79.61</v>
      </c>
      <c r="Q23" s="8">
        <v>76.61</v>
      </c>
      <c r="R23" s="8">
        <v>69.13</v>
      </c>
      <c r="S23" s="8">
        <v>66.13</v>
      </c>
      <c r="T23" s="8">
        <v>59.95</v>
      </c>
      <c r="U23" s="9">
        <v>81.71</v>
      </c>
      <c r="V23" s="9">
        <v>0</v>
      </c>
    </row>
    <row r="24" spans="1:22" ht="12.75">
      <c r="A24" s="1">
        <f t="shared" si="0"/>
        <v>18</v>
      </c>
      <c r="B24" s="4" t="s">
        <v>228</v>
      </c>
      <c r="C24" s="8">
        <v>187.4</v>
      </c>
      <c r="D24" s="8">
        <v>175.7</v>
      </c>
      <c r="E24" s="8">
        <v>156.1</v>
      </c>
      <c r="F24" s="8">
        <v>133.28</v>
      </c>
      <c r="G24" s="8">
        <v>130.28</v>
      </c>
      <c r="H24" s="8">
        <v>110.83</v>
      </c>
      <c r="I24" s="8">
        <v>107.83</v>
      </c>
      <c r="J24" s="8">
        <v>160.4</v>
      </c>
      <c r="K24" s="8">
        <v>150.66</v>
      </c>
      <c r="L24" s="8">
        <v>147.66</v>
      </c>
      <c r="M24" s="8">
        <v>152.58</v>
      </c>
      <c r="N24" s="8">
        <v>167.5</v>
      </c>
      <c r="O24" s="8">
        <v>94.34</v>
      </c>
      <c r="P24" s="8">
        <v>81.29</v>
      </c>
      <c r="Q24" s="8">
        <v>78.29</v>
      </c>
      <c r="R24" s="8">
        <v>70.57</v>
      </c>
      <c r="S24" s="8">
        <v>67.57</v>
      </c>
      <c r="T24" s="8">
        <v>59.95</v>
      </c>
      <c r="U24" s="9">
        <v>81.71</v>
      </c>
      <c r="V24" s="9">
        <v>0</v>
      </c>
    </row>
    <row r="25" spans="1:22" ht="12.75">
      <c r="A25" s="1">
        <f t="shared" si="0"/>
        <v>19</v>
      </c>
      <c r="B25" s="4" t="s">
        <v>229</v>
      </c>
      <c r="C25" s="8">
        <v>188</v>
      </c>
      <c r="D25" s="8">
        <v>176.1</v>
      </c>
      <c r="E25" s="8">
        <v>156.4</v>
      </c>
      <c r="F25" s="8">
        <v>133.61</v>
      </c>
      <c r="G25" s="8">
        <v>130.61</v>
      </c>
      <c r="H25" s="8">
        <v>111.11</v>
      </c>
      <c r="I25" s="8">
        <v>108.11</v>
      </c>
      <c r="J25" s="8">
        <v>160.8</v>
      </c>
      <c r="K25" s="8">
        <v>151.27</v>
      </c>
      <c r="L25" s="8">
        <v>148.27</v>
      </c>
      <c r="M25" s="8">
        <v>148.95</v>
      </c>
      <c r="N25" s="8">
        <v>163.7</v>
      </c>
      <c r="O25" s="8">
        <v>93.28</v>
      </c>
      <c r="P25" s="8">
        <v>80.24</v>
      </c>
      <c r="Q25" s="8">
        <v>77.24</v>
      </c>
      <c r="R25" s="8">
        <v>69.67</v>
      </c>
      <c r="S25" s="8">
        <v>66.67</v>
      </c>
      <c r="T25" s="8">
        <v>59.95</v>
      </c>
      <c r="U25" s="9">
        <v>81.71</v>
      </c>
      <c r="V25" s="9">
        <v>0</v>
      </c>
    </row>
    <row r="26" spans="1:22" ht="12.75">
      <c r="A26" s="1">
        <f t="shared" si="0"/>
        <v>20</v>
      </c>
      <c r="B26" s="4" t="s">
        <v>230</v>
      </c>
      <c r="C26" s="8">
        <v>188</v>
      </c>
      <c r="D26" s="8">
        <v>176.1</v>
      </c>
      <c r="E26" s="8">
        <v>156.4</v>
      </c>
      <c r="F26" s="8">
        <v>133.61</v>
      </c>
      <c r="G26" s="8">
        <v>130.61</v>
      </c>
      <c r="H26" s="8">
        <v>111.11</v>
      </c>
      <c r="I26" s="8">
        <v>108.11</v>
      </c>
      <c r="J26" s="8">
        <v>160.8</v>
      </c>
      <c r="K26" s="8">
        <v>151.27</v>
      </c>
      <c r="L26" s="8">
        <v>148.27</v>
      </c>
      <c r="M26" s="8">
        <v>148.95</v>
      </c>
      <c r="N26" s="8">
        <v>163.7</v>
      </c>
      <c r="O26" s="8">
        <v>93.28</v>
      </c>
      <c r="P26" s="8">
        <v>80.24</v>
      </c>
      <c r="Q26" s="8">
        <v>77.24</v>
      </c>
      <c r="R26" s="8">
        <v>69.67</v>
      </c>
      <c r="S26" s="8">
        <v>66.67</v>
      </c>
      <c r="T26" s="8">
        <v>59.95</v>
      </c>
      <c r="U26" s="9">
        <v>81.71</v>
      </c>
      <c r="V26" s="9">
        <v>0</v>
      </c>
    </row>
    <row r="27" spans="1:22" ht="12.75">
      <c r="A27" s="1">
        <f t="shared" si="0"/>
        <v>21</v>
      </c>
      <c r="B27" s="4" t="s">
        <v>231</v>
      </c>
      <c r="C27" s="8">
        <v>188</v>
      </c>
      <c r="D27" s="8">
        <v>176.1</v>
      </c>
      <c r="E27" s="8">
        <v>156.4</v>
      </c>
      <c r="F27" s="8">
        <v>133.61</v>
      </c>
      <c r="G27" s="8">
        <v>130.61</v>
      </c>
      <c r="H27" s="8">
        <v>111.11</v>
      </c>
      <c r="I27" s="8">
        <v>108.11</v>
      </c>
      <c r="J27" s="8">
        <v>160.8</v>
      </c>
      <c r="K27" s="8">
        <v>151.27</v>
      </c>
      <c r="L27" s="8">
        <v>148.27</v>
      </c>
      <c r="M27" s="8">
        <v>148.95</v>
      </c>
      <c r="N27" s="8">
        <v>163.7</v>
      </c>
      <c r="O27" s="8">
        <v>93.28</v>
      </c>
      <c r="P27" s="8">
        <v>80.24</v>
      </c>
      <c r="Q27" s="8">
        <v>77.24</v>
      </c>
      <c r="R27" s="8">
        <v>69.67</v>
      </c>
      <c r="S27" s="8">
        <v>66.67</v>
      </c>
      <c r="T27" s="8">
        <v>59.95</v>
      </c>
      <c r="U27" s="9">
        <v>81.71</v>
      </c>
      <c r="V27" s="9">
        <v>0</v>
      </c>
    </row>
    <row r="28" spans="1:22" ht="12.75">
      <c r="A28" s="1">
        <f t="shared" si="0"/>
        <v>22</v>
      </c>
      <c r="B28" s="4" t="s">
        <v>232</v>
      </c>
      <c r="C28" s="8">
        <v>196.2</v>
      </c>
      <c r="D28" s="8">
        <v>184.1</v>
      </c>
      <c r="E28" s="8">
        <v>164.8</v>
      </c>
      <c r="F28" s="8">
        <v>142.07</v>
      </c>
      <c r="G28" s="8">
        <v>139.07</v>
      </c>
      <c r="H28" s="8">
        <v>118.4</v>
      </c>
      <c r="I28" s="8">
        <v>115.4</v>
      </c>
      <c r="J28" s="8">
        <v>169.6</v>
      </c>
      <c r="K28" s="8">
        <v>160.15</v>
      </c>
      <c r="L28" s="8">
        <v>157.15</v>
      </c>
      <c r="M28" s="8">
        <v>160.15</v>
      </c>
      <c r="N28" s="8">
        <v>173.9</v>
      </c>
      <c r="O28" s="8">
        <v>102.56</v>
      </c>
      <c r="P28" s="8">
        <v>89.52</v>
      </c>
      <c r="Q28" s="8">
        <v>86.52</v>
      </c>
      <c r="R28" s="8">
        <v>77.67</v>
      </c>
      <c r="S28" s="8">
        <v>74.67</v>
      </c>
      <c r="T28" s="8">
        <v>59.95</v>
      </c>
      <c r="U28" s="9">
        <v>81.71</v>
      </c>
      <c r="V28" s="9">
        <v>0</v>
      </c>
    </row>
    <row r="29" spans="1:22" ht="12.75">
      <c r="A29" s="1">
        <f t="shared" si="0"/>
        <v>23</v>
      </c>
      <c r="B29" s="4" t="s">
        <v>258</v>
      </c>
      <c r="C29" s="8">
        <v>199.5</v>
      </c>
      <c r="D29" s="8">
        <v>187.1</v>
      </c>
      <c r="E29" s="8">
        <v>164.8</v>
      </c>
      <c r="F29" s="8">
        <v>142.07</v>
      </c>
      <c r="G29" s="8">
        <v>139.07</v>
      </c>
      <c r="H29" s="8">
        <v>118.4</v>
      </c>
      <c r="I29" s="8">
        <v>115.4</v>
      </c>
      <c r="J29" s="8">
        <v>169.6</v>
      </c>
      <c r="K29" s="8">
        <v>160.15</v>
      </c>
      <c r="L29" s="8">
        <v>157.15</v>
      </c>
      <c r="M29" s="8">
        <v>169.57</v>
      </c>
      <c r="N29" s="8">
        <v>184.4</v>
      </c>
      <c r="O29" s="8">
        <v>102.17</v>
      </c>
      <c r="P29" s="8">
        <v>89.13</v>
      </c>
      <c r="Q29" s="8">
        <v>86.13</v>
      </c>
      <c r="R29" s="8">
        <v>77.33</v>
      </c>
      <c r="S29" s="8">
        <v>74.33</v>
      </c>
      <c r="T29" s="8">
        <v>59.95</v>
      </c>
      <c r="U29" s="9">
        <v>81.71</v>
      </c>
      <c r="V29" s="9">
        <v>0</v>
      </c>
    </row>
    <row r="30" spans="1:22" ht="12.75">
      <c r="A30" s="1">
        <f t="shared" si="0"/>
        <v>24</v>
      </c>
      <c r="B30" s="4" t="s">
        <v>259</v>
      </c>
      <c r="C30" s="8">
        <v>199.8</v>
      </c>
      <c r="D30" s="8">
        <v>187.8</v>
      </c>
      <c r="E30" s="8">
        <v>164.8</v>
      </c>
      <c r="F30" s="8">
        <v>142.07</v>
      </c>
      <c r="G30" s="8">
        <v>139.07</v>
      </c>
      <c r="H30" s="8">
        <v>118.4</v>
      </c>
      <c r="I30" s="8">
        <v>115.4</v>
      </c>
      <c r="J30" s="8">
        <v>169.6</v>
      </c>
      <c r="K30" s="8">
        <v>160.15</v>
      </c>
      <c r="L30" s="8">
        <v>157.15</v>
      </c>
      <c r="M30" s="8">
        <v>163.01</v>
      </c>
      <c r="N30" s="8">
        <v>178</v>
      </c>
      <c r="O30" s="8">
        <v>97.78</v>
      </c>
      <c r="P30" s="8">
        <v>84.73</v>
      </c>
      <c r="Q30" s="8">
        <v>81.73</v>
      </c>
      <c r="R30" s="8">
        <v>73.54</v>
      </c>
      <c r="S30" s="8">
        <v>70.54</v>
      </c>
      <c r="T30" s="8">
        <v>59.98</v>
      </c>
      <c r="U30" s="9">
        <v>81.71</v>
      </c>
      <c r="V30" s="9">
        <v>0</v>
      </c>
    </row>
    <row r="31" spans="1:22" ht="12.75">
      <c r="A31" s="1">
        <f t="shared" si="0"/>
        <v>25</v>
      </c>
      <c r="B31" s="4" t="s">
        <v>260</v>
      </c>
      <c r="C31" s="8">
        <v>204.3</v>
      </c>
      <c r="D31" s="8">
        <v>194.3</v>
      </c>
      <c r="E31" s="8">
        <v>174.8</v>
      </c>
      <c r="F31" s="8">
        <v>152.06</v>
      </c>
      <c r="G31" s="8">
        <v>149.06</v>
      </c>
      <c r="H31" s="8">
        <v>127.02</v>
      </c>
      <c r="I31" s="8">
        <v>124.02</v>
      </c>
      <c r="J31" s="8">
        <v>179.6</v>
      </c>
      <c r="K31" s="8">
        <v>170.15</v>
      </c>
      <c r="L31" s="8">
        <v>167.15</v>
      </c>
      <c r="M31" s="8">
        <v>173.66</v>
      </c>
      <c r="N31" s="8">
        <v>188.6</v>
      </c>
      <c r="O31" s="8">
        <v>107.63</v>
      </c>
      <c r="P31" s="8">
        <v>94.59</v>
      </c>
      <c r="Q31" s="8">
        <v>91.59</v>
      </c>
      <c r="R31" s="8">
        <v>82.04</v>
      </c>
      <c r="S31" s="8">
        <v>79.04</v>
      </c>
      <c r="T31" s="8">
        <v>61.95</v>
      </c>
      <c r="U31" s="9">
        <v>83.71</v>
      </c>
      <c r="V31" s="9">
        <v>0</v>
      </c>
    </row>
    <row r="32" spans="1:22" ht="12.75">
      <c r="A32" s="1">
        <f t="shared" si="0"/>
        <v>26</v>
      </c>
      <c r="B32" s="4" t="s">
        <v>261</v>
      </c>
      <c r="C32" s="8">
        <v>205.6</v>
      </c>
      <c r="D32" s="8">
        <v>196.8</v>
      </c>
      <c r="E32" s="8">
        <v>174.8</v>
      </c>
      <c r="F32" s="8">
        <v>152.06</v>
      </c>
      <c r="G32" s="8">
        <v>149.06</v>
      </c>
      <c r="H32" s="8">
        <v>127.02</v>
      </c>
      <c r="I32" s="8">
        <v>124.02</v>
      </c>
      <c r="J32" s="8">
        <v>179.6</v>
      </c>
      <c r="K32" s="8">
        <v>170.15</v>
      </c>
      <c r="L32" s="8">
        <v>167.15</v>
      </c>
      <c r="M32" s="8">
        <v>173.19</v>
      </c>
      <c r="N32" s="8">
        <v>188.1</v>
      </c>
      <c r="O32" s="8">
        <v>109.7</v>
      </c>
      <c r="P32" s="8">
        <v>96.64</v>
      </c>
      <c r="Q32" s="8">
        <v>93.64</v>
      </c>
      <c r="R32" s="8">
        <v>83.81</v>
      </c>
      <c r="S32" s="8">
        <v>80.81</v>
      </c>
      <c r="T32" s="8">
        <v>63.95</v>
      </c>
      <c r="U32" s="9">
        <v>85.71</v>
      </c>
      <c r="V32" s="9">
        <v>0</v>
      </c>
    </row>
    <row r="33" spans="1:22" ht="12.75">
      <c r="A33" s="1">
        <f t="shared" si="0"/>
        <v>27</v>
      </c>
      <c r="B33" s="4" t="s">
        <v>262</v>
      </c>
      <c r="C33" s="8">
        <v>207.9</v>
      </c>
      <c r="D33" s="8">
        <v>197.8</v>
      </c>
      <c r="E33" s="8">
        <v>181.8</v>
      </c>
      <c r="F33" s="8">
        <v>159.16</v>
      </c>
      <c r="G33" s="8">
        <v>156.16</v>
      </c>
      <c r="H33" s="8">
        <v>133.14</v>
      </c>
      <c r="I33" s="8">
        <v>130.14</v>
      </c>
      <c r="J33" s="8">
        <v>186.6</v>
      </c>
      <c r="K33" s="8">
        <v>177.27</v>
      </c>
      <c r="L33" s="8">
        <v>174.27</v>
      </c>
      <c r="M33" s="8">
        <v>170.13</v>
      </c>
      <c r="N33" s="8">
        <v>185.4</v>
      </c>
      <c r="O33" s="8">
        <v>111.49</v>
      </c>
      <c r="P33" s="8">
        <v>98.45</v>
      </c>
      <c r="Q33" s="8">
        <v>95.45</v>
      </c>
      <c r="R33" s="8">
        <v>85.37</v>
      </c>
      <c r="S33" s="8">
        <v>82.37</v>
      </c>
      <c r="T33" s="8">
        <v>67.95</v>
      </c>
      <c r="U33" s="9">
        <v>89.71</v>
      </c>
      <c r="V33" s="9">
        <v>0</v>
      </c>
    </row>
    <row r="34" spans="1:22" ht="12.75">
      <c r="A34" s="1">
        <f t="shared" si="0"/>
        <v>28</v>
      </c>
      <c r="B34" s="4" t="s">
        <v>263</v>
      </c>
      <c r="C34" s="8">
        <v>208.8</v>
      </c>
      <c r="D34" s="8">
        <v>199.1</v>
      </c>
      <c r="E34" s="8">
        <v>194.9</v>
      </c>
      <c r="F34" s="8">
        <v>171.15</v>
      </c>
      <c r="G34" s="8">
        <v>168.15</v>
      </c>
      <c r="H34" s="8">
        <v>143.47</v>
      </c>
      <c r="I34" s="8">
        <v>140.47</v>
      </c>
      <c r="J34" s="8">
        <v>198.8</v>
      </c>
      <c r="K34" s="8">
        <v>188.13</v>
      </c>
      <c r="L34" s="8">
        <v>185.13</v>
      </c>
      <c r="M34" s="8">
        <v>178.29</v>
      </c>
      <c r="N34" s="8">
        <v>193.6</v>
      </c>
      <c r="O34" s="8">
        <v>119.68</v>
      </c>
      <c r="P34" s="8">
        <v>106.64</v>
      </c>
      <c r="Q34" s="8">
        <v>103.64</v>
      </c>
      <c r="R34" s="8">
        <v>92.43</v>
      </c>
      <c r="S34" s="8">
        <v>89.43</v>
      </c>
      <c r="T34" s="8">
        <v>67.95</v>
      </c>
      <c r="U34" s="9">
        <v>89.71</v>
      </c>
      <c r="V34" s="9">
        <v>0</v>
      </c>
    </row>
    <row r="35" spans="1:22" ht="12.75">
      <c r="A35" s="1">
        <f t="shared" si="0"/>
        <v>29</v>
      </c>
      <c r="B35" s="4" t="s">
        <v>264</v>
      </c>
      <c r="C35" s="8">
        <v>207.1</v>
      </c>
      <c r="D35" s="8">
        <v>197.4</v>
      </c>
      <c r="E35" s="8">
        <v>193.3</v>
      </c>
      <c r="F35" s="8">
        <v>169.53</v>
      </c>
      <c r="G35" s="8">
        <v>166.53</v>
      </c>
      <c r="H35" s="8">
        <v>142.08</v>
      </c>
      <c r="I35" s="8">
        <v>139.08</v>
      </c>
      <c r="J35" s="8">
        <v>197.2</v>
      </c>
      <c r="K35" s="8">
        <v>186.48</v>
      </c>
      <c r="L35" s="8">
        <v>183.48</v>
      </c>
      <c r="M35" s="8">
        <v>176.76</v>
      </c>
      <c r="N35" s="8">
        <v>192.1</v>
      </c>
      <c r="O35" s="8">
        <v>121.33</v>
      </c>
      <c r="P35" s="8">
        <v>108.29</v>
      </c>
      <c r="Q35" s="8">
        <v>105.29</v>
      </c>
      <c r="R35" s="8">
        <v>93.85</v>
      </c>
      <c r="S35" s="8">
        <v>90.85</v>
      </c>
      <c r="T35" s="8">
        <v>69.1</v>
      </c>
      <c r="U35" s="9">
        <v>90.86</v>
      </c>
      <c r="V35" s="9">
        <v>0</v>
      </c>
    </row>
    <row r="36" spans="1:22" ht="12.75">
      <c r="A36" s="1">
        <f t="shared" si="0"/>
        <v>30</v>
      </c>
      <c r="B36" s="4" t="s">
        <v>265</v>
      </c>
      <c r="C36" s="8">
        <v>207.2</v>
      </c>
      <c r="D36" s="8">
        <v>197.2</v>
      </c>
      <c r="E36" s="8">
        <v>195.4</v>
      </c>
      <c r="F36" s="8">
        <v>171.61</v>
      </c>
      <c r="G36" s="8">
        <v>168.61</v>
      </c>
      <c r="H36" s="8">
        <v>143.87</v>
      </c>
      <c r="I36" s="8">
        <v>140.87</v>
      </c>
      <c r="J36" s="8">
        <v>199.3</v>
      </c>
      <c r="K36" s="8">
        <v>188.59</v>
      </c>
      <c r="L36" s="8">
        <v>185.59</v>
      </c>
      <c r="M36" s="8">
        <v>177.42</v>
      </c>
      <c r="N36" s="8">
        <v>192.7</v>
      </c>
      <c r="O36" s="8">
        <v>128.47</v>
      </c>
      <c r="P36" s="8">
        <v>115.42</v>
      </c>
      <c r="Q36" s="8">
        <v>112.42</v>
      </c>
      <c r="R36" s="8">
        <v>100</v>
      </c>
      <c r="S36" s="8">
        <v>97</v>
      </c>
      <c r="T36" s="8">
        <v>69.1</v>
      </c>
      <c r="U36" s="9">
        <v>90.86</v>
      </c>
      <c r="V36" s="9">
        <v>0</v>
      </c>
    </row>
    <row r="37" spans="1:22" ht="12.75">
      <c r="A37" s="1">
        <f t="shared" si="0"/>
        <v>31</v>
      </c>
      <c r="B37" s="4" t="s">
        <v>266</v>
      </c>
      <c r="C37" s="8">
        <v>204.1</v>
      </c>
      <c r="D37" s="8">
        <v>194</v>
      </c>
      <c r="E37" s="8">
        <v>192.3</v>
      </c>
      <c r="F37" s="8">
        <v>168.5</v>
      </c>
      <c r="G37" s="8">
        <v>165.5</v>
      </c>
      <c r="H37" s="8">
        <v>141.19</v>
      </c>
      <c r="I37" s="8">
        <v>138.19</v>
      </c>
      <c r="J37" s="8">
        <v>196.2</v>
      </c>
      <c r="K37" s="8">
        <v>185.47</v>
      </c>
      <c r="L37" s="8">
        <v>182.47</v>
      </c>
      <c r="M37" s="8">
        <v>174.27</v>
      </c>
      <c r="N37" s="8">
        <v>189.7</v>
      </c>
      <c r="O37" s="8">
        <v>125.41</v>
      </c>
      <c r="P37" s="8">
        <v>112.38</v>
      </c>
      <c r="Q37" s="8">
        <v>109.38</v>
      </c>
      <c r="R37" s="8">
        <v>97.38</v>
      </c>
      <c r="S37" s="8">
        <v>94.38</v>
      </c>
      <c r="T37" s="8">
        <v>69.1</v>
      </c>
      <c r="U37" s="9">
        <v>90.86</v>
      </c>
      <c r="V37" s="9">
        <v>0</v>
      </c>
    </row>
    <row r="38" spans="1:22" ht="12.75">
      <c r="A38" s="1">
        <f t="shared" si="0"/>
        <v>32</v>
      </c>
      <c r="B38" s="4" t="s">
        <v>267</v>
      </c>
      <c r="C38" s="8">
        <v>198.1</v>
      </c>
      <c r="D38" s="8">
        <v>187.9</v>
      </c>
      <c r="E38" s="8">
        <v>182.3</v>
      </c>
      <c r="F38" s="8">
        <v>158.61</v>
      </c>
      <c r="G38" s="8">
        <v>155.61</v>
      </c>
      <c r="H38" s="8">
        <v>132.66</v>
      </c>
      <c r="I38" s="8">
        <v>129.66</v>
      </c>
      <c r="J38" s="8">
        <v>186.2</v>
      </c>
      <c r="K38" s="8">
        <v>175.6</v>
      </c>
      <c r="L38" s="8">
        <v>172.6</v>
      </c>
      <c r="M38" s="8">
        <v>164.8</v>
      </c>
      <c r="N38" s="8">
        <v>180.1</v>
      </c>
      <c r="O38" s="8">
        <v>123.27</v>
      </c>
      <c r="P38" s="8">
        <v>110.23</v>
      </c>
      <c r="Q38" s="8">
        <v>107.23</v>
      </c>
      <c r="R38" s="8">
        <v>95.52</v>
      </c>
      <c r="S38" s="8">
        <v>92.52</v>
      </c>
      <c r="T38" s="8">
        <v>69.1</v>
      </c>
      <c r="U38" s="9">
        <v>90.86</v>
      </c>
      <c r="V38" s="9">
        <v>0</v>
      </c>
    </row>
    <row r="39" spans="1:22" ht="12.75">
      <c r="A39" s="1">
        <f t="shared" si="0"/>
        <v>33</v>
      </c>
      <c r="B39" s="4" t="s">
        <v>268</v>
      </c>
      <c r="C39" s="8">
        <v>194.6</v>
      </c>
      <c r="D39" s="8">
        <v>185.2</v>
      </c>
      <c r="E39" s="8">
        <v>175.8</v>
      </c>
      <c r="F39" s="8">
        <v>152.02</v>
      </c>
      <c r="G39" s="8">
        <v>149.02</v>
      </c>
      <c r="H39" s="8">
        <v>126.98</v>
      </c>
      <c r="I39" s="8">
        <v>123.98</v>
      </c>
      <c r="J39" s="8">
        <v>179.6</v>
      </c>
      <c r="K39" s="8">
        <v>169.23</v>
      </c>
      <c r="L39" s="8">
        <v>166.23</v>
      </c>
      <c r="M39" s="8">
        <v>151.92</v>
      </c>
      <c r="N39" s="8">
        <v>169.2</v>
      </c>
      <c r="O39" s="8">
        <v>119.28</v>
      </c>
      <c r="P39" s="8">
        <v>106.23</v>
      </c>
      <c r="Q39" s="8">
        <v>103.23</v>
      </c>
      <c r="R39" s="8">
        <v>92.07</v>
      </c>
      <c r="S39" s="8">
        <v>89.07</v>
      </c>
      <c r="T39" s="8">
        <v>69.1</v>
      </c>
      <c r="U39" s="9">
        <v>90.86</v>
      </c>
      <c r="V39" s="9">
        <v>0</v>
      </c>
    </row>
    <row r="40" spans="1:22" ht="12.75">
      <c r="A40" s="1">
        <f t="shared" si="0"/>
        <v>34</v>
      </c>
      <c r="B40" s="4" t="s">
        <v>269</v>
      </c>
      <c r="C40" s="8">
        <v>194.1</v>
      </c>
      <c r="D40" s="8">
        <v>184.2</v>
      </c>
      <c r="E40" s="8">
        <v>170.9</v>
      </c>
      <c r="F40" s="8">
        <v>146.87</v>
      </c>
      <c r="G40" s="8">
        <v>143.87</v>
      </c>
      <c r="H40" s="8">
        <v>122.54</v>
      </c>
      <c r="I40" s="8">
        <v>119.54</v>
      </c>
      <c r="J40" s="8">
        <v>175.2</v>
      </c>
      <c r="K40" s="8">
        <v>163.96</v>
      </c>
      <c r="L40" s="8">
        <v>160.96</v>
      </c>
      <c r="M40" s="8">
        <v>147.23</v>
      </c>
      <c r="N40" s="8">
        <v>164.5</v>
      </c>
      <c r="O40" s="8">
        <v>115.53</v>
      </c>
      <c r="P40" s="8">
        <v>102.48</v>
      </c>
      <c r="Q40" s="8">
        <v>99.48</v>
      </c>
      <c r="R40" s="8">
        <v>88.84</v>
      </c>
      <c r="S40" s="8">
        <v>85.44</v>
      </c>
      <c r="T40" s="8">
        <v>69.1</v>
      </c>
      <c r="U40" s="9">
        <v>90.86</v>
      </c>
      <c r="V40" s="9">
        <v>0</v>
      </c>
    </row>
    <row r="41" spans="1:22" ht="12.75">
      <c r="A41" s="1">
        <f t="shared" si="0"/>
        <v>35</v>
      </c>
      <c r="B41" s="4" t="s">
        <v>270</v>
      </c>
      <c r="C41" s="8">
        <v>192.8</v>
      </c>
      <c r="D41" s="8">
        <v>183.1</v>
      </c>
      <c r="E41" s="8">
        <v>169.5</v>
      </c>
      <c r="F41" s="8">
        <v>145.73</v>
      </c>
      <c r="G41" s="8">
        <v>142.73</v>
      </c>
      <c r="H41" s="8">
        <v>121.56</v>
      </c>
      <c r="I41" s="8">
        <v>118.56</v>
      </c>
      <c r="J41" s="8">
        <v>173.8</v>
      </c>
      <c r="K41" s="8">
        <v>162.53</v>
      </c>
      <c r="L41" s="8">
        <v>159.53</v>
      </c>
      <c r="M41" s="8">
        <v>146.03</v>
      </c>
      <c r="N41" s="8">
        <v>163.3</v>
      </c>
      <c r="O41" s="8">
        <v>116.03</v>
      </c>
      <c r="P41" s="8">
        <v>102.98</v>
      </c>
      <c r="Q41" s="8">
        <v>99.98</v>
      </c>
      <c r="R41" s="8">
        <v>89.27</v>
      </c>
      <c r="S41" s="8">
        <v>86.27</v>
      </c>
      <c r="T41" s="8">
        <v>69.1</v>
      </c>
      <c r="U41" s="9">
        <v>90.86</v>
      </c>
      <c r="V41" s="9">
        <v>0</v>
      </c>
    </row>
    <row r="42" spans="1:22" ht="12.75">
      <c r="A42" s="1">
        <f t="shared" si="0"/>
        <v>36</v>
      </c>
      <c r="B42" s="4" t="s">
        <v>271</v>
      </c>
      <c r="C42" s="8">
        <v>196.7</v>
      </c>
      <c r="D42" s="8">
        <v>186.7</v>
      </c>
      <c r="E42" s="8">
        <v>171.1</v>
      </c>
      <c r="F42" s="8">
        <v>146.83</v>
      </c>
      <c r="G42" s="8">
        <v>143.83</v>
      </c>
      <c r="H42" s="8">
        <v>122.51</v>
      </c>
      <c r="I42" s="8">
        <v>119.51</v>
      </c>
      <c r="J42" s="8">
        <v>175.4</v>
      </c>
      <c r="K42" s="8">
        <v>163.77</v>
      </c>
      <c r="L42" s="8">
        <v>160.77</v>
      </c>
      <c r="M42" s="8">
        <v>151.84</v>
      </c>
      <c r="N42" s="8">
        <v>166.2</v>
      </c>
      <c r="O42" s="8">
        <v>115.36</v>
      </c>
      <c r="P42" s="8">
        <v>102.35</v>
      </c>
      <c r="Q42" s="8">
        <v>99.32</v>
      </c>
      <c r="R42" s="8">
        <v>88.7</v>
      </c>
      <c r="S42" s="8">
        <v>85.7</v>
      </c>
      <c r="T42" s="8">
        <v>69.1</v>
      </c>
      <c r="U42" s="9">
        <v>90.86</v>
      </c>
      <c r="V42" s="9">
        <v>0</v>
      </c>
    </row>
    <row r="43" spans="1:22" ht="12.75">
      <c r="A43" s="1">
        <f t="shared" si="0"/>
        <v>37</v>
      </c>
      <c r="B43" s="4" t="s">
        <v>272</v>
      </c>
      <c r="C43" s="8">
        <v>199.8</v>
      </c>
      <c r="D43" s="8">
        <v>189.9</v>
      </c>
      <c r="E43" s="8">
        <v>167.3</v>
      </c>
      <c r="F43" s="8">
        <v>143.06</v>
      </c>
      <c r="G43" s="8">
        <v>140.06</v>
      </c>
      <c r="H43" s="8">
        <v>119.26</v>
      </c>
      <c r="I43" s="8">
        <v>116.26</v>
      </c>
      <c r="J43" s="8">
        <v>171.6</v>
      </c>
      <c r="K43" s="8">
        <v>159.97</v>
      </c>
      <c r="L43" s="8">
        <v>156.97</v>
      </c>
      <c r="M43" s="8">
        <v>149.76</v>
      </c>
      <c r="N43" s="8">
        <v>164.2</v>
      </c>
      <c r="O43" s="8">
        <v>111.54</v>
      </c>
      <c r="P43" s="8">
        <v>98.49</v>
      </c>
      <c r="Q43" s="8">
        <v>95.49</v>
      </c>
      <c r="R43" s="8">
        <v>85.4</v>
      </c>
      <c r="S43" s="8">
        <v>82.4</v>
      </c>
      <c r="T43" s="8">
        <v>72.45</v>
      </c>
      <c r="U43" s="9">
        <v>94.2</v>
      </c>
      <c r="V43" s="9">
        <v>0</v>
      </c>
    </row>
    <row r="44" spans="1:22" ht="12.75">
      <c r="A44" s="1">
        <f t="shared" si="0"/>
        <v>38</v>
      </c>
      <c r="B44" s="4" t="s">
        <v>273</v>
      </c>
      <c r="C44" s="8">
        <v>196.7</v>
      </c>
      <c r="D44" s="8">
        <v>187</v>
      </c>
      <c r="E44" s="8">
        <v>162.6</v>
      </c>
      <c r="F44" s="8">
        <v>138.79</v>
      </c>
      <c r="G44" s="8">
        <v>135.79</v>
      </c>
      <c r="H44" s="8">
        <v>115.58</v>
      </c>
      <c r="I44" s="8">
        <v>112.58</v>
      </c>
      <c r="J44" s="8">
        <v>166.9</v>
      </c>
      <c r="K44" s="8">
        <v>155.64</v>
      </c>
      <c r="L44" s="8">
        <v>152.64</v>
      </c>
      <c r="M44" s="8">
        <v>147.11</v>
      </c>
      <c r="N44" s="8">
        <v>163.5</v>
      </c>
      <c r="O44" s="8">
        <v>106.94</v>
      </c>
      <c r="P44" s="8">
        <v>93.88</v>
      </c>
      <c r="Q44" s="8">
        <v>90.88</v>
      </c>
      <c r="R44" s="8">
        <v>81.43</v>
      </c>
      <c r="S44" s="8">
        <v>78.43</v>
      </c>
      <c r="T44" s="8">
        <v>73.92</v>
      </c>
      <c r="U44" s="9">
        <v>95.68</v>
      </c>
      <c r="V44" s="9">
        <v>0</v>
      </c>
    </row>
    <row r="45" spans="1:22" ht="12.75">
      <c r="A45" s="1">
        <f t="shared" si="0"/>
        <v>39</v>
      </c>
      <c r="B45" s="4" t="s">
        <v>274</v>
      </c>
      <c r="C45" s="8">
        <v>191.7</v>
      </c>
      <c r="D45" s="8">
        <v>182.2</v>
      </c>
      <c r="E45" s="8">
        <v>155.9</v>
      </c>
      <c r="F45" s="8">
        <v>132.67</v>
      </c>
      <c r="G45" s="8">
        <v>129.67</v>
      </c>
      <c r="H45" s="8">
        <v>110.37</v>
      </c>
      <c r="I45" s="8">
        <v>107.37</v>
      </c>
      <c r="J45" s="8">
        <v>160.2</v>
      </c>
      <c r="K45" s="8">
        <v>149.5</v>
      </c>
      <c r="L45" s="8">
        <v>146.5</v>
      </c>
      <c r="M45" s="8">
        <v>156.85</v>
      </c>
      <c r="N45" s="8">
        <v>173.7</v>
      </c>
      <c r="O45" s="8">
        <v>96.94</v>
      </c>
      <c r="P45" s="8">
        <v>83.88</v>
      </c>
      <c r="Q45" s="8">
        <v>80.88</v>
      </c>
      <c r="R45" s="8">
        <v>72.81</v>
      </c>
      <c r="S45" s="8">
        <v>69.81</v>
      </c>
      <c r="T45" s="8">
        <v>70.02</v>
      </c>
      <c r="U45" s="9">
        <v>91.78</v>
      </c>
      <c r="V45" s="9">
        <v>0</v>
      </c>
    </row>
    <row r="46" spans="1:22" ht="12.75">
      <c r="A46" s="1">
        <f t="shared" si="0"/>
        <v>40</v>
      </c>
      <c r="B46" s="4" t="s">
        <v>275</v>
      </c>
      <c r="C46" s="8">
        <v>194.5</v>
      </c>
      <c r="D46" s="8">
        <v>181.2</v>
      </c>
      <c r="E46" s="8">
        <v>159.9</v>
      </c>
      <c r="F46" s="8">
        <v>136.56</v>
      </c>
      <c r="G46" s="8">
        <v>133.56</v>
      </c>
      <c r="H46" s="8">
        <v>113.72</v>
      </c>
      <c r="I46" s="8">
        <v>110.72</v>
      </c>
      <c r="J46" s="8">
        <v>164.2</v>
      </c>
      <c r="K46" s="8">
        <v>153.39</v>
      </c>
      <c r="L46" s="8">
        <v>150.39</v>
      </c>
      <c r="M46" s="8">
        <v>150.13</v>
      </c>
      <c r="N46" s="8">
        <v>166.8</v>
      </c>
      <c r="O46" s="8">
        <v>103.49</v>
      </c>
      <c r="P46" s="8">
        <v>90.45</v>
      </c>
      <c r="Q46" s="8">
        <v>87.45</v>
      </c>
      <c r="R46" s="8">
        <v>78.47</v>
      </c>
      <c r="S46" s="8">
        <v>75.47</v>
      </c>
      <c r="T46" s="8">
        <v>77.93</v>
      </c>
      <c r="U46" s="9">
        <v>87.31</v>
      </c>
      <c r="V46" s="9">
        <v>0</v>
      </c>
    </row>
    <row r="47" spans="1:22" ht="12.75">
      <c r="A47" s="1">
        <f t="shared" si="0"/>
        <v>41</v>
      </c>
      <c r="B47" s="4" t="s">
        <v>276</v>
      </c>
      <c r="C47" s="8">
        <v>191</v>
      </c>
      <c r="D47" s="8">
        <v>178</v>
      </c>
      <c r="E47" s="8">
        <v>158.6</v>
      </c>
      <c r="F47" s="8">
        <v>130.68</v>
      </c>
      <c r="G47" s="8">
        <v>127.68</v>
      </c>
      <c r="H47" s="8">
        <v>108.69</v>
      </c>
      <c r="I47" s="8">
        <v>105.69</v>
      </c>
      <c r="J47" s="8">
        <v>162.2</v>
      </c>
      <c r="K47" s="8">
        <v>148.96</v>
      </c>
      <c r="L47" s="8">
        <v>145.96</v>
      </c>
      <c r="M47" s="8">
        <v>145.13</v>
      </c>
      <c r="N47" s="8">
        <v>162.1</v>
      </c>
      <c r="O47" s="8">
        <v>100.49</v>
      </c>
      <c r="P47" s="8">
        <v>87.44</v>
      </c>
      <c r="Q47" s="8">
        <v>84.44</v>
      </c>
      <c r="R47" s="8">
        <v>75.88</v>
      </c>
      <c r="S47" s="8">
        <v>72.88</v>
      </c>
      <c r="T47" s="8">
        <v>0</v>
      </c>
      <c r="U47" s="9">
        <v>0</v>
      </c>
      <c r="V47" s="9">
        <v>75.93</v>
      </c>
    </row>
    <row r="48" spans="1:22" ht="12.75">
      <c r="A48" s="1">
        <f t="shared" si="0"/>
        <v>42</v>
      </c>
      <c r="B48" s="4" t="s">
        <v>277</v>
      </c>
      <c r="C48" s="8">
        <v>181</v>
      </c>
      <c r="D48" s="8">
        <v>166</v>
      </c>
      <c r="E48" s="8">
        <v>150.4</v>
      </c>
      <c r="F48" s="8">
        <v>123.23</v>
      </c>
      <c r="G48" s="8">
        <v>120.23</v>
      </c>
      <c r="H48" s="8">
        <v>102.3</v>
      </c>
      <c r="I48" s="8">
        <v>99.3</v>
      </c>
      <c r="J48" s="8">
        <v>154</v>
      </c>
      <c r="K48" s="8">
        <v>141.09</v>
      </c>
      <c r="L48" s="8">
        <v>138.09</v>
      </c>
      <c r="M48" s="8">
        <v>131.97</v>
      </c>
      <c r="N48" s="8">
        <v>149.1</v>
      </c>
      <c r="O48" s="8">
        <v>93.25</v>
      </c>
      <c r="P48" s="8">
        <v>80.24</v>
      </c>
      <c r="Q48" s="8">
        <v>77.24</v>
      </c>
      <c r="R48" s="8">
        <v>69.67</v>
      </c>
      <c r="S48" s="8">
        <v>66.67</v>
      </c>
      <c r="T48" s="8">
        <v>0</v>
      </c>
      <c r="U48" s="9">
        <v>0</v>
      </c>
      <c r="V48" s="9">
        <v>74.63</v>
      </c>
    </row>
    <row r="49" spans="1:22" ht="12.75">
      <c r="A49" s="1">
        <f t="shared" si="0"/>
        <v>43</v>
      </c>
      <c r="B49" s="4" t="s">
        <v>278</v>
      </c>
      <c r="C49" s="8">
        <v>168.4</v>
      </c>
      <c r="D49" s="8">
        <v>155.7</v>
      </c>
      <c r="E49" s="8">
        <v>141.9</v>
      </c>
      <c r="F49" s="8">
        <v>114.9</v>
      </c>
      <c r="G49" s="8">
        <v>111.9</v>
      </c>
      <c r="H49" s="8">
        <v>95.12</v>
      </c>
      <c r="I49" s="8">
        <v>92.12</v>
      </c>
      <c r="J49" s="8">
        <v>147</v>
      </c>
      <c r="K49" s="8">
        <v>133.7</v>
      </c>
      <c r="L49" s="8">
        <v>130.7</v>
      </c>
      <c r="M49" s="8">
        <v>121.79</v>
      </c>
      <c r="N49" s="8">
        <v>139.1</v>
      </c>
      <c r="O49" s="8">
        <v>85.27</v>
      </c>
      <c r="P49" s="8">
        <v>72.25</v>
      </c>
      <c r="Q49" s="8">
        <v>69.25</v>
      </c>
      <c r="R49" s="8">
        <v>62.78</v>
      </c>
      <c r="S49" s="8">
        <v>59.78</v>
      </c>
      <c r="T49" s="8">
        <v>0</v>
      </c>
      <c r="U49" s="9">
        <v>0</v>
      </c>
      <c r="V49" s="9">
        <v>69.34</v>
      </c>
    </row>
    <row r="50" spans="1:22" ht="12.75">
      <c r="A50" s="1">
        <f t="shared" si="0"/>
        <v>44</v>
      </c>
      <c r="B50" s="4" t="s">
        <v>279</v>
      </c>
      <c r="C50" s="8">
        <v>155.3</v>
      </c>
      <c r="D50" s="8">
        <v>141.4</v>
      </c>
      <c r="E50" s="8">
        <v>135.6</v>
      </c>
      <c r="F50" s="8">
        <v>108.57</v>
      </c>
      <c r="G50" s="8">
        <v>105.57</v>
      </c>
      <c r="H50" s="8">
        <v>89.66</v>
      </c>
      <c r="I50" s="8">
        <v>86.66</v>
      </c>
      <c r="J50" s="8">
        <v>140.8</v>
      </c>
      <c r="K50" s="8">
        <v>127.46</v>
      </c>
      <c r="L50" s="8">
        <v>124.46</v>
      </c>
      <c r="M50" s="8">
        <v>113.39</v>
      </c>
      <c r="N50" s="8">
        <v>130.7</v>
      </c>
      <c r="O50" s="8">
        <v>76.46</v>
      </c>
      <c r="P50" s="8">
        <v>63.41</v>
      </c>
      <c r="Q50" s="8">
        <v>6.41</v>
      </c>
      <c r="R50" s="8">
        <v>55.16</v>
      </c>
      <c r="S50" s="8">
        <v>52.16</v>
      </c>
      <c r="T50" s="8">
        <v>0</v>
      </c>
      <c r="U50" s="9">
        <v>0</v>
      </c>
      <c r="V50" s="9">
        <v>64.34</v>
      </c>
    </row>
    <row r="51" spans="1:22" ht="12.75">
      <c r="A51" s="1">
        <f t="shared" si="0"/>
        <v>45</v>
      </c>
      <c r="B51" s="4" t="s">
        <v>280</v>
      </c>
      <c r="C51" s="8">
        <v>147.3</v>
      </c>
      <c r="D51" s="8">
        <v>134.4</v>
      </c>
      <c r="E51" s="8">
        <v>123.2</v>
      </c>
      <c r="F51" s="8">
        <v>96.35</v>
      </c>
      <c r="G51" s="8">
        <v>93.35</v>
      </c>
      <c r="H51" s="8">
        <v>79.13</v>
      </c>
      <c r="I51" s="8">
        <v>76.13</v>
      </c>
      <c r="J51" s="8">
        <v>128.8</v>
      </c>
      <c r="K51" s="8">
        <v>115.18</v>
      </c>
      <c r="L51" s="8">
        <v>112.18</v>
      </c>
      <c r="M51" s="8">
        <v>101.08</v>
      </c>
      <c r="N51" s="8">
        <v>118.7</v>
      </c>
      <c r="O51" s="8">
        <v>69.32</v>
      </c>
      <c r="P51" s="8">
        <v>56.09</v>
      </c>
      <c r="Q51" s="8">
        <v>53.09</v>
      </c>
      <c r="R51" s="8">
        <v>48.85</v>
      </c>
      <c r="S51" s="8">
        <v>45.85</v>
      </c>
      <c r="T51" s="8">
        <v>0</v>
      </c>
      <c r="U51" s="9">
        <v>0</v>
      </c>
      <c r="V51" s="9">
        <v>63.72</v>
      </c>
    </row>
    <row r="52" spans="1:22" ht="12.75">
      <c r="A52" s="1">
        <f t="shared" si="0"/>
        <v>46</v>
      </c>
      <c r="B52" s="4" t="s">
        <v>281</v>
      </c>
      <c r="C52" s="8">
        <v>143.8</v>
      </c>
      <c r="D52" s="8">
        <v>130.4</v>
      </c>
      <c r="E52" s="8">
        <v>121.2</v>
      </c>
      <c r="F52" s="8">
        <v>94.53</v>
      </c>
      <c r="G52" s="8">
        <v>91.53</v>
      </c>
      <c r="H52" s="8">
        <v>77.56</v>
      </c>
      <c r="I52" s="8">
        <v>74.56</v>
      </c>
      <c r="J52" s="8">
        <v>126.6</v>
      </c>
      <c r="K52" s="8">
        <v>113.19</v>
      </c>
      <c r="L52" s="8">
        <v>110.19</v>
      </c>
      <c r="M52" s="8">
        <v>101.23</v>
      </c>
      <c r="N52" s="8">
        <v>118.5</v>
      </c>
      <c r="O52" s="8">
        <v>63.32</v>
      </c>
      <c r="P52" s="8">
        <v>50.09</v>
      </c>
      <c r="Q52" s="8">
        <v>47.09</v>
      </c>
      <c r="R52" s="8">
        <v>43.68</v>
      </c>
      <c r="S52" s="8">
        <v>40.68</v>
      </c>
      <c r="T52" s="8">
        <v>0</v>
      </c>
      <c r="U52" s="9">
        <v>0</v>
      </c>
      <c r="V52" s="9">
        <v>60.42</v>
      </c>
    </row>
    <row r="53" spans="1:22" ht="12.75">
      <c r="A53" s="1">
        <f t="shared" si="0"/>
        <v>47</v>
      </c>
      <c r="B53" s="4" t="s">
        <v>282</v>
      </c>
      <c r="C53" s="8">
        <v>137.8</v>
      </c>
      <c r="D53" s="8">
        <v>124.4</v>
      </c>
      <c r="E53" s="8">
        <v>118.7</v>
      </c>
      <c r="F53" s="8">
        <v>92.85</v>
      </c>
      <c r="G53" s="8">
        <v>89.85</v>
      </c>
      <c r="H53" s="8">
        <v>76.11</v>
      </c>
      <c r="I53" s="8">
        <v>73.11</v>
      </c>
      <c r="J53" s="8">
        <v>125.2</v>
      </c>
      <c r="K53" s="8">
        <v>111.94</v>
      </c>
      <c r="L53" s="8">
        <v>108.94</v>
      </c>
      <c r="M53" s="8">
        <v>97.93</v>
      </c>
      <c r="N53" s="8">
        <v>115.5</v>
      </c>
      <c r="O53" s="8">
        <v>58.32</v>
      </c>
      <c r="P53" s="8">
        <v>44.65</v>
      </c>
      <c r="Q53" s="8">
        <v>41.65</v>
      </c>
      <c r="R53" s="8">
        <v>38.99</v>
      </c>
      <c r="S53" s="8">
        <v>35.99</v>
      </c>
      <c r="T53" s="8">
        <v>0</v>
      </c>
      <c r="U53" s="9">
        <v>0</v>
      </c>
      <c r="V53" s="9">
        <v>56.62</v>
      </c>
    </row>
    <row r="54" spans="1:22" ht="12.75">
      <c r="A54" s="1">
        <f t="shared" si="0"/>
        <v>48</v>
      </c>
      <c r="B54" s="4" t="s">
        <v>283</v>
      </c>
      <c r="C54" s="8">
        <v>136.9</v>
      </c>
      <c r="D54" s="8">
        <v>123.7</v>
      </c>
      <c r="E54" s="8">
        <v>118.1</v>
      </c>
      <c r="F54" s="8">
        <v>92.13</v>
      </c>
      <c r="G54" s="8">
        <v>89.13</v>
      </c>
      <c r="H54" s="8">
        <v>75.49</v>
      </c>
      <c r="I54" s="8">
        <v>72.49</v>
      </c>
      <c r="J54" s="8">
        <v>124.7</v>
      </c>
      <c r="K54" s="8">
        <v>111.25</v>
      </c>
      <c r="L54" s="8">
        <v>108.25</v>
      </c>
      <c r="M54" s="8">
        <v>97.49</v>
      </c>
      <c r="N54" s="8">
        <v>115</v>
      </c>
      <c r="O54" s="8">
        <v>58.01</v>
      </c>
      <c r="P54" s="8">
        <v>44.27</v>
      </c>
      <c r="Q54" s="8">
        <v>41.24</v>
      </c>
      <c r="R54" s="8">
        <v>38.66</v>
      </c>
      <c r="S54" s="8">
        <v>35.66</v>
      </c>
      <c r="T54" s="8">
        <v>0</v>
      </c>
      <c r="U54" s="9">
        <v>0</v>
      </c>
      <c r="V54" s="9">
        <v>56.2</v>
      </c>
    </row>
    <row r="55" spans="1:22" ht="12.75">
      <c r="A55" s="1">
        <f t="shared" si="0"/>
        <v>49</v>
      </c>
      <c r="B55" s="4" t="s">
        <v>284</v>
      </c>
      <c r="C55" s="8">
        <v>136.2</v>
      </c>
      <c r="D55" s="8">
        <v>123.2</v>
      </c>
      <c r="E55" s="8">
        <v>117.7</v>
      </c>
      <c r="F55" s="8">
        <v>91.65</v>
      </c>
      <c r="G55" s="8">
        <v>88.65</v>
      </c>
      <c r="H55" s="8">
        <v>75.08</v>
      </c>
      <c r="I55" s="8">
        <v>72.08</v>
      </c>
      <c r="J55" s="8">
        <v>124.3</v>
      </c>
      <c r="K55" s="8">
        <v>110.76</v>
      </c>
      <c r="L55" s="8">
        <v>107.76</v>
      </c>
      <c r="M55" s="8">
        <v>96.57</v>
      </c>
      <c r="N55" s="8">
        <v>114.6</v>
      </c>
      <c r="O55" s="8">
        <v>57.42</v>
      </c>
      <c r="P55" s="8">
        <v>43.71</v>
      </c>
      <c r="Q55" s="8">
        <v>40.71</v>
      </c>
      <c r="R55" s="8">
        <v>38.18</v>
      </c>
      <c r="S55" s="8">
        <v>35.18</v>
      </c>
      <c r="T55" s="8">
        <v>0</v>
      </c>
      <c r="U55" s="9">
        <v>0</v>
      </c>
      <c r="V55" s="9">
        <v>55.57</v>
      </c>
    </row>
    <row r="56" spans="1:22" ht="12.75">
      <c r="A56" s="1">
        <f t="shared" si="0"/>
        <v>50</v>
      </c>
      <c r="B56" s="4" t="s">
        <v>285</v>
      </c>
      <c r="C56" s="8">
        <v>126.9</v>
      </c>
      <c r="D56" s="8">
        <v>115</v>
      </c>
      <c r="E56" s="8">
        <v>111.8</v>
      </c>
      <c r="F56" s="8">
        <v>86.12</v>
      </c>
      <c r="G56" s="8">
        <v>83.12</v>
      </c>
      <c r="H56" s="8">
        <v>70.31</v>
      </c>
      <c r="I56" s="8">
        <v>67.31</v>
      </c>
      <c r="J56" s="8">
        <v>117.6</v>
      </c>
      <c r="K56" s="8">
        <v>104.19</v>
      </c>
      <c r="L56" s="8">
        <v>101.19</v>
      </c>
      <c r="M56" s="8">
        <v>89.15</v>
      </c>
      <c r="N56" s="8">
        <v>107.2</v>
      </c>
      <c r="O56" s="8">
        <v>55.79</v>
      </c>
      <c r="P56" s="8">
        <v>42.75</v>
      </c>
      <c r="Q56" s="8">
        <v>39.75</v>
      </c>
      <c r="R56" s="8">
        <v>37.35</v>
      </c>
      <c r="S56" s="8">
        <v>34.35</v>
      </c>
      <c r="T56" s="8">
        <v>0</v>
      </c>
      <c r="U56" s="9">
        <v>0</v>
      </c>
      <c r="V56" s="9">
        <v>53.21</v>
      </c>
    </row>
    <row r="57" spans="1:22" ht="12.75">
      <c r="A57" s="1">
        <f t="shared" si="0"/>
        <v>51</v>
      </c>
      <c r="B57" s="4" t="s">
        <v>286</v>
      </c>
      <c r="C57" s="8">
        <v>118.5</v>
      </c>
      <c r="D57" s="8">
        <v>109</v>
      </c>
      <c r="E57" s="8">
        <v>102</v>
      </c>
      <c r="F57" s="8">
        <v>77.34</v>
      </c>
      <c r="G57" s="8">
        <v>74.34</v>
      </c>
      <c r="H57" s="8">
        <v>62.74</v>
      </c>
      <c r="I57" s="8">
        <v>59.74</v>
      </c>
      <c r="J57" s="8">
        <v>110</v>
      </c>
      <c r="K57" s="8">
        <v>97.17</v>
      </c>
      <c r="L57" s="8">
        <v>94.17</v>
      </c>
      <c r="M57" s="8">
        <v>80.26</v>
      </c>
      <c r="N57" s="8">
        <v>100</v>
      </c>
      <c r="O57" s="8">
        <v>55.05</v>
      </c>
      <c r="P57" s="8">
        <v>42.01</v>
      </c>
      <c r="Q57" s="8">
        <v>39.01</v>
      </c>
      <c r="R57" s="8">
        <v>36.71</v>
      </c>
      <c r="S57" s="8">
        <v>33.71</v>
      </c>
      <c r="T57" s="8">
        <v>0</v>
      </c>
      <c r="U57" s="9">
        <v>0</v>
      </c>
      <c r="V57" s="9">
        <v>50</v>
      </c>
    </row>
    <row r="58" spans="1:22" ht="12.75">
      <c r="A58" s="1">
        <f>A57+1</f>
        <v>52</v>
      </c>
      <c r="B58" s="4" t="s">
        <v>287</v>
      </c>
      <c r="C58" s="8">
        <v>117.8</v>
      </c>
      <c r="D58" s="8">
        <v>108</v>
      </c>
      <c r="E58" s="8">
        <v>101</v>
      </c>
      <c r="F58" s="8">
        <v>76.01</v>
      </c>
      <c r="G58" s="8">
        <v>73.01</v>
      </c>
      <c r="H58" s="8">
        <v>61.59</v>
      </c>
      <c r="I58" s="8">
        <v>58.59</v>
      </c>
      <c r="J58" s="8">
        <v>109</v>
      </c>
      <c r="K58" s="8">
        <v>95.83</v>
      </c>
      <c r="L58" s="8">
        <v>92.83</v>
      </c>
      <c r="M58" s="8">
        <v>76.4</v>
      </c>
      <c r="N58" s="8">
        <v>96.1</v>
      </c>
      <c r="O58" s="8">
        <v>58.08</v>
      </c>
      <c r="P58" s="8">
        <v>45.02</v>
      </c>
      <c r="Q58" s="8">
        <v>42.02</v>
      </c>
      <c r="R58" s="8">
        <v>39.31</v>
      </c>
      <c r="S58" s="8">
        <v>36.31</v>
      </c>
      <c r="T58" s="8">
        <v>0</v>
      </c>
      <c r="U58" s="9">
        <v>0</v>
      </c>
      <c r="V58" s="9">
        <v>50</v>
      </c>
    </row>
    <row r="59" spans="1:22" ht="12.75">
      <c r="A59" s="1">
        <f>A58+1</f>
        <v>53</v>
      </c>
      <c r="B59" s="4" t="s">
        <v>288</v>
      </c>
      <c r="C59" s="8">
        <v>115</v>
      </c>
      <c r="D59" s="8">
        <v>105</v>
      </c>
      <c r="E59" s="8">
        <v>100</v>
      </c>
      <c r="F59" s="8">
        <v>74.95</v>
      </c>
      <c r="G59" s="8">
        <v>71.95</v>
      </c>
      <c r="H59" s="8">
        <v>60.68</v>
      </c>
      <c r="I59" s="8">
        <v>57.68</v>
      </c>
      <c r="J59" s="8">
        <v>107</v>
      </c>
      <c r="K59" s="8">
        <v>93.79</v>
      </c>
      <c r="L59" s="8">
        <v>90.79</v>
      </c>
      <c r="M59" s="8">
        <v>75.04</v>
      </c>
      <c r="N59" s="8">
        <v>94</v>
      </c>
      <c r="O59" s="8">
        <v>56.08</v>
      </c>
      <c r="P59" s="8">
        <v>43.04</v>
      </c>
      <c r="Q59" s="8">
        <v>40.04</v>
      </c>
      <c r="R59" s="8">
        <v>37.6</v>
      </c>
      <c r="S59" s="8">
        <v>34.6</v>
      </c>
      <c r="T59" s="8">
        <v>0</v>
      </c>
      <c r="U59" s="12">
        <v>0</v>
      </c>
      <c r="V59" s="12">
        <v>50</v>
      </c>
    </row>
    <row r="60" spans="2:22" ht="13.5" thickBot="1">
      <c r="B60" s="2" t="s">
        <v>65</v>
      </c>
      <c r="C60" s="16">
        <f>SUM(C7:C59)/53</f>
        <v>176.7698113207547</v>
      </c>
      <c r="D60" s="16">
        <f aca="true" t="shared" si="1" ref="D60:S60">SUM(D7:D59)/53</f>
        <v>165.69999999999996</v>
      </c>
      <c r="E60" s="16">
        <f t="shared" si="1"/>
        <v>150.51509433962266</v>
      </c>
      <c r="F60" s="16">
        <f t="shared" si="1"/>
        <v>126.33566037735851</v>
      </c>
      <c r="G60" s="16">
        <f t="shared" si="1"/>
        <v>123.33566037735851</v>
      </c>
      <c r="H60" s="16">
        <f t="shared" si="1"/>
        <v>104.87528301886792</v>
      </c>
      <c r="I60" s="16">
        <f t="shared" si="1"/>
        <v>101.87584905660377</v>
      </c>
      <c r="J60" s="16">
        <f t="shared" si="1"/>
        <v>155.08490566037736</v>
      </c>
      <c r="K60" s="16">
        <f t="shared" si="1"/>
        <v>143.9156603773585</v>
      </c>
      <c r="L60" s="16">
        <f t="shared" si="1"/>
        <v>140.91622641509434</v>
      </c>
      <c r="M60" s="16">
        <f t="shared" si="1"/>
        <v>135.95584905660377</v>
      </c>
      <c r="N60" s="16">
        <f t="shared" si="1"/>
        <v>151.62641509433965</v>
      </c>
      <c r="O60" s="16">
        <f t="shared" si="1"/>
        <v>91.70716981132075</v>
      </c>
      <c r="P60" s="16">
        <f t="shared" si="1"/>
        <v>78.61924528301886</v>
      </c>
      <c r="Q60" s="16">
        <f t="shared" si="1"/>
        <v>74.59924528301887</v>
      </c>
      <c r="R60" s="16">
        <f t="shared" si="1"/>
        <v>68.27169811320753</v>
      </c>
      <c r="S60" s="16">
        <f t="shared" si="1"/>
        <v>65.2641509433962</v>
      </c>
      <c r="T60" s="16">
        <f>SUM(T7:T59)/40</f>
        <v>63.69375</v>
      </c>
      <c r="U60" s="16">
        <f>SUM(U7:U59)/40</f>
        <v>85.14325000000004</v>
      </c>
      <c r="V60" s="16">
        <f>SUM(V7:V59)/13</f>
        <v>59.99846153846155</v>
      </c>
    </row>
    <row r="61" ht="13.5" thickTop="1"/>
    <row r="63" ht="12.75">
      <c r="C63" s="22"/>
    </row>
    <row r="64" ht="12.75">
      <c r="C64" s="22"/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miguel.rodriguez</cp:lastModifiedBy>
  <cp:lastPrinted>2017-01-05T19:58:10Z</cp:lastPrinted>
  <dcterms:created xsi:type="dcterms:W3CDTF">2001-01-19T15:53:22Z</dcterms:created>
  <dcterms:modified xsi:type="dcterms:W3CDTF">2018-10-04T16:08:03Z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