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ONSUMO NACIONAL 2018" sheetId="1" r:id="rId1"/>
    <sheet name="RESUMEN 2018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<sst xmlns="http://schemas.openxmlformats.org/spreadsheetml/2006/main" count="73" uniqueCount="66">
  <si>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GASOLINA PREMIUM</t>
  </si>
  <si>
    <t>GASOLINA REGULAR</t>
  </si>
  <si>
    <t>KEROSENE</t>
  </si>
  <si>
    <t>AVTUR</t>
  </si>
  <si>
    <t>GASOIL REGULAR</t>
  </si>
  <si>
    <t xml:space="preserve">Enero </t>
  </si>
  <si>
    <t>Febrero</t>
  </si>
  <si>
    <t>Marzo</t>
  </si>
  <si>
    <t>Abril</t>
  </si>
  <si>
    <t xml:space="preserve">PRODUCTOS </t>
  </si>
  <si>
    <t>Total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</si>
  <si>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</si>
  <si>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</si>
  <si>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</si>
  <si>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</si>
  <si>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</si>
  <si>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</si>
  <si>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</si>
  <si>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</si>
  <si>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 L P  </t>
  </si>
  <si>
    <t>GASOLINA PREMIUM EXENTA DE IMPUESTOS</t>
  </si>
  <si>
    <t>GASOIL NORMAL EXENTO DE IMPUESTOS</t>
  </si>
  <si>
    <t>GASOIL GENERACION INTERC.</t>
  </si>
  <si>
    <t>GASOIL GENERACION NO INTERC.</t>
  </si>
  <si>
    <t>GASOIL PREMIUM</t>
  </si>
  <si>
    <t>GASOIL PREMIUM EXENTO DE IMPUESTOS</t>
  </si>
  <si>
    <t>FUEL OIL AREA DE CARGA</t>
  </si>
  <si>
    <t>FUEL OIL GENERACION INTERC.</t>
  </si>
  <si>
    <t>FUEL OIL GENERACION NO INTERC.</t>
  </si>
  <si>
    <t>FUEL OIL EXONERADO ZONAS FRANCAS</t>
  </si>
  <si>
    <t>IFO-380</t>
  </si>
  <si>
    <t>GASOIL REG. EXENTO DE ADVALOREM</t>
  </si>
  <si>
    <t>GASOIL A PRECIO ESPECIAL</t>
  </si>
  <si>
    <t>FUEL OIL A PRECIO ESPECIAL</t>
  </si>
  <si>
    <t>GASOLINA REGULAR EXENTA DE IMPUESTOS</t>
  </si>
  <si>
    <t>GASOIL REG. COMPENSADO TRANSPORTISTAS</t>
  </si>
  <si>
    <t>GASOIL OPTIMO</t>
  </si>
  <si>
    <t>GASOIL PREMIUM A PRECIO ESPECIAL</t>
  </si>
  <si>
    <t>GASOIL OPTIMO EXENTO DE IMPUESTOS</t>
  </si>
  <si>
    <t>GASOIL OPTIMO PRECIO ESPECIAL</t>
  </si>
  <si>
    <t xml:space="preserve">TOTAL GENERAL </t>
  </si>
  <si>
    <t>(Valores expresados en Galones)</t>
  </si>
  <si>
    <t>FUENTES:</t>
  </si>
  <si>
    <t>EMPRESA REFIDOMSA</t>
  </si>
  <si>
    <t xml:space="preserve">EMPRESA COASTAL </t>
  </si>
  <si>
    <t>REALIZADO POR:</t>
  </si>
  <si>
    <t>LICDO. JUAN ANTONIO CHAIN HASBUN</t>
  </si>
  <si>
    <t>PROMEDIO</t>
  </si>
  <si>
    <t>MINISTERIO DE INDUSTRIA, COMERCIO Y MIPYMES</t>
  </si>
  <si>
    <t xml:space="preserve">CONSUMO NACIONAL DE LOS COMBUSTIBLES </t>
  </si>
  <si>
    <t xml:space="preserve">PROMEDIO </t>
  </si>
  <si>
    <t>G.L.P. USO GENERAL</t>
  </si>
  <si>
    <t xml:space="preserve">GASOIL REGULAR </t>
  </si>
  <si>
    <t>GASOIL GENERACIÓN</t>
  </si>
  <si>
    <t>FUEL OIL CARGA</t>
  </si>
  <si>
    <t>FUEL OIL GENERACIÓN</t>
  </si>
  <si>
    <t>TOTAL GENERAL</t>
  </si>
  <si>
    <t xml:space="preserve">       CONSUMO MENSUAL DE COMBUSTIBLES</t>
  </si>
  <si>
    <t xml:space="preserve">     DIRECCIÓN DE COMBUSTIBLES</t>
  </si>
  <si>
    <t xml:space="preserve">             </t>
  </si>
  <si>
    <t>TOTAL</t>
  </si>
  <si>
    <t>TIPOS DE COMBUSTIBLES</t>
  </si>
  <si>
    <t>PERIODO 2018</t>
  </si>
  <si>
    <t>OTROS</t>
  </si>
  <si>
    <t>PERIODO: MAYO 2018</t>
  </si>
  <si>
    <t>MES DE MAYO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</si>
</sst>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.0000_);\(#,##0.0000\)"/>
    <numFmt numFmtId="187" formatCode="0.0000_)"/>
    <numFmt numFmtId="188" formatCode="_(* #,##0_);_(* \(#,##0\);_(* &quot;-&quot;??_);_(@_)"/>
    <numFmt numFmtId="189" formatCode="0.0"/>
    <numFmt numFmtId="190" formatCode="#,##0.0"/>
    <numFmt numFmtId="191" formatCode="0.00000"/>
    <numFmt numFmtId="192" formatCode="0.0000"/>
    <numFmt numFmtId="193" formatCode="0.000"/>
    <numFmt numFmtId="194" formatCode="_(&quot;RD$&quot;* #,##0.000_);_(&quot;RD$&quot;* \(#,##0.000\);_(&quot;RD$&quot;* &quot;-&quot;??_);_(@_)"/>
    <numFmt numFmtId="195" formatCode="_(&quot;RD$&quot;* #,##0.0_);_(&quot;RD$&quot;* \(#,##0.0\);_(&quot;RD$&quot;* &quot;-&quot;??_);_(@_)"/>
    <numFmt numFmtId="196" formatCode="_(&quot;RD$&quot;* #,##0_);_(&quot;RD$&quot;* \(#,##0\);_(&quot;RD$&quot;* &quot;-&quot;??_);_(@_)"/>
    <numFmt numFmtId="197" formatCode="#,##0.000"/>
    <numFmt numFmtId="198" formatCode="[$-1C0A]dddd\,\ d\ &quot;de&quot;\ mmmm\ &quot;de&quot;\ yyyy"/>
    <numFmt numFmtId="199" formatCode="[$-1C0A]h:mm:ss\ AM/PM"/>
    <numFmt numFmtId="200" formatCode="&quot;$&quot;#,##0.00"/>
    <numFmt numFmtId="201" formatCode="&quot;$&quot;#,##0.000"/>
    <numFmt numFmtId="202" formatCode="&quot;$&quot;#,##0.0000"/>
    <numFmt numFmtId="203" formatCode="&quot;$&quot;#,##0.0"/>
    <numFmt numFmtId="204" formatCode="&quot;$&quot;#,##0"/>
    <numFmt numFmtId="205" formatCode="#,##0.0000"/>
    <numFmt numFmtId="206" formatCode="#,##0.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186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48" applyNumberFormat="1" applyFont="1" applyAlignment="1">
      <alignment/>
    </xf>
    <xf numFmtId="177" fontId="0" fillId="0" borderId="0" xfId="48" applyFont="1" applyAlignment="1">
      <alignment/>
    </xf>
    <xf numFmtId="200" fontId="0" fillId="0" borderId="0" xfId="0" applyNumberFormat="1" applyAlignment="1">
      <alignment/>
    </xf>
    <xf numFmtId="204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186" fontId="6" fillId="0" borderId="11" xfId="51" applyFont="1" applyBorder="1" applyAlignment="1" applyProtection="1" quotePrefix="1">
      <alignment horizontal="left" vertical="center"/>
      <protection/>
    </xf>
    <xf numFmtId="186" fontId="6" fillId="0" borderId="10" xfId="51" applyFont="1" applyBorder="1" applyAlignment="1" applyProtection="1" quotePrefix="1">
      <alignment horizontal="left" vertical="center"/>
      <protection/>
    </xf>
    <xf numFmtId="186" fontId="6" fillId="0" borderId="10" xfId="51" applyFont="1" applyBorder="1" applyAlignment="1" applyProtection="1">
      <alignment horizontal="left" vertical="center"/>
      <protection/>
    </xf>
    <xf numFmtId="186" fontId="6" fillId="0" borderId="10" xfId="51" applyFont="1" applyFill="1" applyBorder="1" applyAlignment="1" applyProtection="1" quotePrefix="1">
      <alignment horizontal="left" vertical="center"/>
      <protection/>
    </xf>
    <xf numFmtId="186" fontId="6" fillId="0" borderId="10" xfId="5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48" applyFont="1" applyBorder="1" applyAlignment="1">
      <alignment/>
    </xf>
    <xf numFmtId="200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NTERDAT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161925</xdr:rowOff>
    </xdr:from>
    <xdr:to>
      <xdr:col>1</xdr:col>
      <xdr:colOff>2114550</xdr:colOff>
      <xdr:row>7</xdr:row>
      <xdr:rowOff>66675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2450"/>
          <a:ext cx="1914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56"/>
  <sheetViews>
    <sheetView tabSelected="1" zoomScaleSheetLayoutView="82" zoomScalePageLayoutView="0" workbookViewId="0" topLeftCell="A4">
      <pane xSplit="2" ySplit="6" topLeftCell="C1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X17" sqref="X17"/>
    </sheetView>
  </sheetViews>
  <sheetFormatPr defaultColWidth="11.421875" defaultRowHeight="12.75" outlineLevelCol="1"/>
  <cols>
    <col min="1" max="1" width="1.8515625" style="0" customWidth="1"/>
    <col min="2" max="2" width="46.57421875" style="0" customWidth="1"/>
    <col min="3" max="3" width="11.57421875" style="0" bestFit="1" customWidth="1"/>
    <col min="4" max="4" width="11.421875" style="0" customWidth="1"/>
    <col min="5" max="5" width="11.57421875" style="0" customWidth="1"/>
    <col min="6" max="6" width="12.28125" style="0" customWidth="1"/>
    <col min="7" max="7" width="11.140625" style="0" customWidth="1"/>
    <col min="8" max="8" width="12.00390625" style="0" hidden="1" customWidth="1" outlineLevel="1"/>
    <col min="9" max="9" width="11.28125" style="0" hidden="1" customWidth="1" outlineLevel="1"/>
    <col min="10" max="10" width="12.421875" style="0" hidden="1" customWidth="1" outlineLevel="1"/>
    <col min="11" max="11" width="12.00390625" style="0" hidden="1" customWidth="1" outlineLevel="1"/>
    <col min="12" max="14" width="12.28125" style="0" hidden="1" customWidth="1" outlineLevel="1"/>
    <col min="15" max="15" width="11.7109375" style="0" customWidth="1" collapsed="1"/>
    <col min="16" max="16" width="12.421875" style="0" customWidth="1"/>
    <col min="17" max="17" width="0" style="0" hidden="1" customWidth="1"/>
    <col min="18" max="18" width="18.57421875" style="0" hidden="1" customWidth="1"/>
    <col min="19" max="22" width="0" style="0" hidden="1" customWidth="1"/>
    <col min="23" max="23" width="0.5625" style="0" hidden="1" customWidth="1"/>
    <col min="24" max="24" width="13.28125" style="0" customWidth="1"/>
    <col min="25" max="25" width="12.7109375" style="0" customWidth="1"/>
    <col min="26" max="26" width="12.00390625" style="0" customWidth="1"/>
    <col min="28" max="28" width="11.00390625" style="0" customWidth="1"/>
  </cols>
  <sheetData>
    <row r="1" spans="2:15" ht="18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6" ht="15.75">
      <c r="B4" s="41" t="s">
        <v>48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ht="15.75">
      <c r="B5" s="41" t="s">
        <v>58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ht="12.75">
      <c r="B6" s="38" t="s">
        <v>57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97" ht="12.75">
      <c r="B7" s="38" t="s">
        <v>64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</row>
    <row r="8" spans="2:97" ht="12" customHeight="1" thickBot="1">
      <c r="B8" s="38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2:97" ht="20.25" customHeight="1" thickBot="1">
      <c r="B9" s="14" t="s">
        <v>9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18</v>
      </c>
      <c r="O9" s="15" t="s">
        <v>10</v>
      </c>
      <c r="P9" s="16" t="s">
        <v>47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</row>
    <row r="10" spans="2:97" ht="27" customHeight="1">
      <c r="B10" s="25" t="s">
        <v>19</v>
      </c>
      <c r="C10" s="8">
        <f>13955088+392160+3758312+5259481+5851590+5616089+4055154</f>
        <v>38887874</v>
      </c>
      <c r="D10" s="8">
        <f>13253758+375297+1502050+6080271+6158713+6205476+4017565</f>
        <v>37593130</v>
      </c>
      <c r="E10" s="8">
        <f>14136896+435672+1922003+5805793+6200525+6201850+6766406+1250734</f>
        <v>42719879</v>
      </c>
      <c r="F10" s="8">
        <f>12917141+404426+4711636+6364126+6201750+6005418+2290298</f>
        <v>38894795</v>
      </c>
      <c r="G10" s="8">
        <f>13085499+441663+27647554</f>
        <v>41174716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7">
        <f>SUM(C10:N10)</f>
        <v>199270394</v>
      </c>
      <c r="P10" s="9">
        <f>O10/5</f>
        <v>39854078.8</v>
      </c>
      <c r="R10" s="4"/>
      <c r="X10" s="35"/>
      <c r="Y10" s="35"/>
      <c r="Z10" s="36"/>
      <c r="AA10" s="35"/>
      <c r="AB10" s="36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</row>
    <row r="11" spans="2:97" ht="27" customHeight="1">
      <c r="B11" s="26" t="s">
        <v>0</v>
      </c>
      <c r="C11" s="2">
        <f>13240323+285405+350080+339597+301814+165812</f>
        <v>14683031</v>
      </c>
      <c r="D11" s="2">
        <f>10250149+155317+809286+926754+1049083+224967</f>
        <v>13415556</v>
      </c>
      <c r="E11" s="2">
        <f>11795435+153513+266573+420778+399887+453661+85349</f>
        <v>13575196</v>
      </c>
      <c r="F11" s="2">
        <f>10111748+294002+466488+409558+398218+108988</f>
        <v>11789002</v>
      </c>
      <c r="G11" s="2">
        <f>10486869+1737700</f>
        <v>12224569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18">
        <f aca="true" t="shared" si="0" ref="O11:O35">SUM(C11:N11)</f>
        <v>65687354</v>
      </c>
      <c r="P11" s="9">
        <f aca="true" t="shared" si="1" ref="P11:P35">O11/5</f>
        <v>13137470.8</v>
      </c>
      <c r="X11" s="35"/>
      <c r="Y11" s="37"/>
      <c r="Z11" s="35"/>
      <c r="AA11" s="35"/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</row>
    <row r="12" spans="2:97" ht="27" customHeight="1">
      <c r="B12" s="26" t="s">
        <v>20</v>
      </c>
      <c r="C12" s="2">
        <v>9066</v>
      </c>
      <c r="D12" s="2">
        <v>9870</v>
      </c>
      <c r="E12" s="2">
        <v>13788</v>
      </c>
      <c r="F12" s="2">
        <v>10813</v>
      </c>
      <c r="G12" s="2">
        <v>10818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18">
        <f t="shared" si="0"/>
        <v>54355</v>
      </c>
      <c r="P12" s="9">
        <f t="shared" si="1"/>
        <v>10871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</row>
    <row r="13" spans="2:25" ht="27" customHeight="1">
      <c r="B13" s="26" t="s">
        <v>1</v>
      </c>
      <c r="C13" s="2">
        <f>12485287+187262+268615+243513+217376+94072</f>
        <v>13496125</v>
      </c>
      <c r="D13" s="2">
        <f>10589906+120817+399631+507799+662338+147141</f>
        <v>12427632</v>
      </c>
      <c r="E13" s="2">
        <f>12127062+112580+128163+251867+266023+307846+43105</f>
        <v>13236646</v>
      </c>
      <c r="F13" s="2">
        <f>10359312+159102+299705+226589+263809+75242</f>
        <v>11383759</v>
      </c>
      <c r="G13" s="2">
        <f>10277300+1114120</f>
        <v>11391420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8">
        <f t="shared" si="0"/>
        <v>61935582</v>
      </c>
      <c r="P13" s="9">
        <f t="shared" si="1"/>
        <v>12387116.4</v>
      </c>
      <c r="R13" s="1"/>
      <c r="Y13" s="7"/>
    </row>
    <row r="14" spans="2:18" ht="27" customHeight="1">
      <c r="B14" s="26" t="s">
        <v>34</v>
      </c>
      <c r="C14" s="2">
        <v>0</v>
      </c>
      <c r="D14" s="34">
        <v>0</v>
      </c>
      <c r="E14" s="10"/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18">
        <f t="shared" si="0"/>
        <v>0</v>
      </c>
      <c r="P14" s="9">
        <f t="shared" si="1"/>
        <v>0</v>
      </c>
      <c r="R14" s="1"/>
    </row>
    <row r="15" spans="2:18" ht="27" customHeight="1">
      <c r="B15" s="27" t="s">
        <v>2</v>
      </c>
      <c r="C15" s="2">
        <v>282475</v>
      </c>
      <c r="D15" s="2">
        <v>222853</v>
      </c>
      <c r="E15" s="2">
        <v>328894</v>
      </c>
      <c r="F15" s="2">
        <v>312779</v>
      </c>
      <c r="G15" s="2">
        <v>366841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18">
        <f t="shared" si="0"/>
        <v>1513842</v>
      </c>
      <c r="P15" s="9">
        <f t="shared" si="1"/>
        <v>302768.4</v>
      </c>
      <c r="R15" s="1"/>
    </row>
    <row r="16" spans="2:16" ht="27" customHeight="1">
      <c r="B16" s="27" t="s">
        <v>3</v>
      </c>
      <c r="C16" s="2">
        <v>7246712</v>
      </c>
      <c r="D16" s="2">
        <v>5020638</v>
      </c>
      <c r="E16" s="2">
        <v>6283112</v>
      </c>
      <c r="F16" s="2">
        <v>5854613</v>
      </c>
      <c r="G16" s="2">
        <v>4441859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18">
        <f t="shared" si="0"/>
        <v>28846934</v>
      </c>
      <c r="P16" s="9">
        <f t="shared" si="1"/>
        <v>5769386.8</v>
      </c>
    </row>
    <row r="17" spans="2:25" ht="27" customHeight="1">
      <c r="B17" s="28" t="s">
        <v>4</v>
      </c>
      <c r="C17" s="2">
        <f>13323810+500311+421701+632520+708108+162915</f>
        <v>15749365</v>
      </c>
      <c r="D17" s="2">
        <f>13762985+416338+738728+987471+1524490+533710</f>
        <v>17963722</v>
      </c>
      <c r="E17" s="2">
        <f>14643436+700381+527323+784298+911610+646736+25662</f>
        <v>18239446</v>
      </c>
      <c r="F17" s="2">
        <f>12949076+614505+858430+836408+745015+86969</f>
        <v>16090403</v>
      </c>
      <c r="G17" s="2">
        <f>11576358+3350605</f>
        <v>14926963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18">
        <f t="shared" si="0"/>
        <v>82969899</v>
      </c>
      <c r="P17" s="9">
        <f t="shared" si="1"/>
        <v>16593979.8</v>
      </c>
      <c r="Y17" s="6"/>
    </row>
    <row r="18" spans="2:25" ht="27" customHeight="1">
      <c r="B18" s="29" t="s">
        <v>21</v>
      </c>
      <c r="C18" s="2">
        <v>59837</v>
      </c>
      <c r="D18" s="2">
        <v>31643</v>
      </c>
      <c r="E18" s="2">
        <v>42441</v>
      </c>
      <c r="F18" s="2">
        <v>68582</v>
      </c>
      <c r="G18" s="2">
        <v>56213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18">
        <f t="shared" si="0"/>
        <v>258716</v>
      </c>
      <c r="P18" s="9">
        <f t="shared" si="1"/>
        <v>51743.2</v>
      </c>
      <c r="Y18" t="s">
        <v>59</v>
      </c>
    </row>
    <row r="19" spans="2:16" ht="27" customHeight="1">
      <c r="B19" s="26" t="s">
        <v>31</v>
      </c>
      <c r="C19" s="3">
        <v>0</v>
      </c>
      <c r="D19" s="3">
        <v>0</v>
      </c>
      <c r="E19" s="3">
        <v>0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11">
        <v>0</v>
      </c>
      <c r="L19" s="2">
        <v>0</v>
      </c>
      <c r="M19" s="2">
        <v>0</v>
      </c>
      <c r="N19" s="2">
        <v>0</v>
      </c>
      <c r="O19" s="18">
        <f t="shared" si="0"/>
        <v>0</v>
      </c>
      <c r="P19" s="9">
        <f t="shared" si="1"/>
        <v>0</v>
      </c>
    </row>
    <row r="20" spans="2:16" ht="27" customHeight="1">
      <c r="B20" s="29" t="s">
        <v>35</v>
      </c>
      <c r="C20" s="3">
        <v>0</v>
      </c>
      <c r="D20" s="3">
        <v>0</v>
      </c>
      <c r="E20" s="3">
        <v>0</v>
      </c>
      <c r="F20" s="3">
        <v>0</v>
      </c>
      <c r="G20" s="2">
        <v>0</v>
      </c>
      <c r="H20" s="10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8">
        <f t="shared" si="0"/>
        <v>0</v>
      </c>
      <c r="P20" s="9">
        <f t="shared" si="1"/>
        <v>0</v>
      </c>
    </row>
    <row r="21" spans="2:25" ht="27" customHeight="1">
      <c r="B21" s="26" t="s">
        <v>22</v>
      </c>
      <c r="C21" s="2">
        <f>129494+141417+7941+11919+41662+15882+5952</f>
        <v>354267</v>
      </c>
      <c r="D21" s="2">
        <f>96593+7908+16877+11913+31751+16874</f>
        <v>181916</v>
      </c>
      <c r="E21" s="2">
        <f>49359+32767+15852+27764+11899</f>
        <v>137641</v>
      </c>
      <c r="F21" s="2">
        <f>17742+248811+11897+11892+25763+32696</f>
        <v>348801</v>
      </c>
      <c r="G21" s="2">
        <f>30577+340926+80163</f>
        <v>451666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8">
        <f t="shared" si="0"/>
        <v>1474291</v>
      </c>
      <c r="P21" s="9">
        <f t="shared" si="1"/>
        <v>294858.2</v>
      </c>
      <c r="Y21" s="6"/>
    </row>
    <row r="22" spans="2:16" ht="27" customHeight="1">
      <c r="B22" s="27" t="s">
        <v>23</v>
      </c>
      <c r="C22" s="2">
        <v>47469</v>
      </c>
      <c r="D22" s="2">
        <v>11859</v>
      </c>
      <c r="E22" s="2">
        <v>0</v>
      </c>
      <c r="F22" s="2">
        <v>0</v>
      </c>
      <c r="G22" s="2">
        <v>3940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8">
        <f t="shared" si="0"/>
        <v>63268</v>
      </c>
      <c r="P22" s="9">
        <f t="shared" si="1"/>
        <v>12653.6</v>
      </c>
    </row>
    <row r="23" spans="2:16" ht="27" customHeight="1">
      <c r="B23" s="26" t="s">
        <v>32</v>
      </c>
      <c r="C23" s="2">
        <v>0</v>
      </c>
      <c r="D23" s="2">
        <v>0</v>
      </c>
      <c r="E23" s="11"/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8">
        <f t="shared" si="0"/>
        <v>0</v>
      </c>
      <c r="P23" s="9">
        <f t="shared" si="1"/>
        <v>0</v>
      </c>
    </row>
    <row r="24" spans="2:16" ht="27" customHeight="1">
      <c r="B24" s="27" t="s">
        <v>36</v>
      </c>
      <c r="C24" s="2">
        <v>5269557</v>
      </c>
      <c r="D24" s="2">
        <v>4494957</v>
      </c>
      <c r="E24" s="2">
        <v>4998414</v>
      </c>
      <c r="F24" s="2">
        <v>4199274</v>
      </c>
      <c r="G24" s="2">
        <v>3796029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8">
        <f t="shared" si="0"/>
        <v>22758231</v>
      </c>
      <c r="P24" s="9">
        <f t="shared" si="1"/>
        <v>4551646.2</v>
      </c>
    </row>
    <row r="25" spans="2:16" ht="27" customHeight="1">
      <c r="B25" s="27" t="s">
        <v>38</v>
      </c>
      <c r="C25" s="2">
        <v>33180</v>
      </c>
      <c r="D25" s="2">
        <v>30710</v>
      </c>
      <c r="E25" s="2">
        <v>18797</v>
      </c>
      <c r="F25" s="2">
        <v>9873</v>
      </c>
      <c r="G25" s="2">
        <v>16782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8">
        <f t="shared" si="0"/>
        <v>109342</v>
      </c>
      <c r="P25" s="9">
        <f t="shared" si="1"/>
        <v>21868.4</v>
      </c>
    </row>
    <row r="26" spans="2:16" ht="27" customHeight="1">
      <c r="B26" s="27" t="s">
        <v>39</v>
      </c>
      <c r="C26" s="10">
        <v>2339434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8">
        <f t="shared" si="0"/>
        <v>2339434</v>
      </c>
      <c r="P26" s="9">
        <f t="shared" si="1"/>
        <v>467886.8</v>
      </c>
    </row>
    <row r="27" spans="2:16" ht="27" customHeight="1">
      <c r="B27" s="29" t="s">
        <v>24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8">
        <f t="shared" si="0"/>
        <v>0</v>
      </c>
      <c r="P27" s="9">
        <f t="shared" si="1"/>
        <v>0</v>
      </c>
    </row>
    <row r="28" spans="2:16" ht="27" customHeight="1">
      <c r="B28" s="26" t="s">
        <v>25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8">
        <f t="shared" si="0"/>
        <v>0</v>
      </c>
      <c r="P28" s="9">
        <f t="shared" si="1"/>
        <v>0</v>
      </c>
    </row>
    <row r="29" spans="2:16" ht="27" customHeight="1">
      <c r="B29" s="26" t="s">
        <v>37</v>
      </c>
      <c r="C29" s="2">
        <v>0</v>
      </c>
      <c r="D29" s="2">
        <v>0</v>
      </c>
      <c r="E29" s="10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8">
        <f t="shared" si="0"/>
        <v>0</v>
      </c>
      <c r="P29" s="9">
        <f t="shared" si="1"/>
        <v>0</v>
      </c>
    </row>
    <row r="30" spans="2:16" ht="27" customHeight="1">
      <c r="B30" s="27" t="s">
        <v>26</v>
      </c>
      <c r="C30" s="2">
        <v>281825</v>
      </c>
      <c r="D30" s="2">
        <v>451300</v>
      </c>
      <c r="E30" s="10">
        <v>546024</v>
      </c>
      <c r="F30" s="2">
        <v>427891</v>
      </c>
      <c r="G30" s="2">
        <v>393065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8">
        <f t="shared" si="0"/>
        <v>2100105</v>
      </c>
      <c r="P30" s="9">
        <f t="shared" si="1"/>
        <v>420021</v>
      </c>
    </row>
    <row r="31" spans="2:16" ht="27" customHeight="1">
      <c r="B31" s="27" t="s">
        <v>29</v>
      </c>
      <c r="C31" s="2">
        <v>429314</v>
      </c>
      <c r="D31" s="2">
        <v>229171</v>
      </c>
      <c r="E31" s="10">
        <v>278184</v>
      </c>
      <c r="F31" s="2">
        <v>226041</v>
      </c>
      <c r="G31" s="2">
        <v>340603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8">
        <f t="shared" si="0"/>
        <v>1503313</v>
      </c>
      <c r="P31" s="9">
        <f t="shared" si="1"/>
        <v>300662.6</v>
      </c>
    </row>
    <row r="32" spans="2:16" ht="27" customHeight="1">
      <c r="B32" s="29" t="s">
        <v>27</v>
      </c>
      <c r="C32" s="2">
        <f>631580</f>
        <v>631580</v>
      </c>
      <c r="D32" s="2">
        <f>559748+42156</f>
        <v>601904</v>
      </c>
      <c r="E32" s="10">
        <f>628971+64167</f>
        <v>693138</v>
      </c>
      <c r="F32" s="2">
        <f>1049618+56181</f>
        <v>1105799</v>
      </c>
      <c r="G32" s="2">
        <f>1374611+41042</f>
        <v>1415653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8">
        <f t="shared" si="0"/>
        <v>4448074</v>
      </c>
      <c r="P32" s="9">
        <f t="shared" si="1"/>
        <v>889614.8</v>
      </c>
    </row>
    <row r="33" spans="2:16" ht="27" customHeight="1">
      <c r="B33" s="27" t="s">
        <v>28</v>
      </c>
      <c r="C33" s="2">
        <v>664575</v>
      </c>
      <c r="D33" s="2">
        <v>524953</v>
      </c>
      <c r="E33" s="2">
        <v>689978</v>
      </c>
      <c r="F33" s="2">
        <v>712763</v>
      </c>
      <c r="G33" s="2">
        <v>744444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8">
        <f t="shared" si="0"/>
        <v>3336713</v>
      </c>
      <c r="P33" s="9">
        <f t="shared" si="1"/>
        <v>667342.6</v>
      </c>
    </row>
    <row r="34" spans="2:16" ht="27" customHeight="1">
      <c r="B34" s="27" t="s">
        <v>30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8">
        <f t="shared" si="0"/>
        <v>0</v>
      </c>
      <c r="P34" s="9">
        <f t="shared" si="1"/>
        <v>0</v>
      </c>
    </row>
    <row r="35" spans="2:16" ht="27" customHeight="1">
      <c r="B35" s="27" t="s">
        <v>33</v>
      </c>
      <c r="C35" s="2">
        <v>8119423</v>
      </c>
      <c r="D35" s="2">
        <v>5583479</v>
      </c>
      <c r="E35" s="2">
        <v>9580787</v>
      </c>
      <c r="F35" s="2">
        <v>8379041</v>
      </c>
      <c r="G35" s="2">
        <v>9132190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8">
        <f t="shared" si="0"/>
        <v>40794920</v>
      </c>
      <c r="P35" s="9">
        <f t="shared" si="1"/>
        <v>8158984</v>
      </c>
    </row>
    <row r="36" spans="2:16" ht="18" customHeight="1" thickBot="1">
      <c r="B36" s="30" t="s">
        <v>40</v>
      </c>
      <c r="C36" s="19">
        <f>SUM(C10:C35)</f>
        <v>108585109</v>
      </c>
      <c r="D36" s="19">
        <f>SUM(D10:D35)</f>
        <v>98795293</v>
      </c>
      <c r="E36" s="19">
        <f aca="true" t="shared" si="2" ref="E36:P36">SUM(E10:E35)</f>
        <v>111382365</v>
      </c>
      <c r="F36" s="20">
        <f t="shared" si="2"/>
        <v>99814229</v>
      </c>
      <c r="G36" s="20">
        <f>SUM(G10:G35)</f>
        <v>100887771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>SUM(M10:M35)</f>
        <v>0</v>
      </c>
      <c r="N36" s="20">
        <f t="shared" si="2"/>
        <v>0</v>
      </c>
      <c r="O36" s="20">
        <f t="shared" si="2"/>
        <v>519464767</v>
      </c>
      <c r="P36" s="20">
        <f t="shared" si="2"/>
        <v>103892953.39999998</v>
      </c>
    </row>
    <row r="37" ht="13.5" thickTop="1">
      <c r="B37" s="24"/>
    </row>
    <row r="38" spans="2:7" ht="12.75">
      <c r="B38" s="32" t="s">
        <v>42</v>
      </c>
      <c r="G38" s="5"/>
    </row>
    <row r="39" ht="12.75">
      <c r="B39" s="33" t="s">
        <v>43</v>
      </c>
    </row>
    <row r="40" ht="12.75">
      <c r="B40" s="33" t="s">
        <v>44</v>
      </c>
    </row>
    <row r="41" ht="12.75">
      <c r="B41" s="33" t="s">
        <v>63</v>
      </c>
    </row>
    <row r="42" ht="12.75">
      <c r="B42" s="23"/>
    </row>
    <row r="43" ht="12.75">
      <c r="B43" s="32" t="s">
        <v>45</v>
      </c>
    </row>
    <row r="44" ht="12.75">
      <c r="B44" s="33" t="s">
        <v>46</v>
      </c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</sheetData>
  <sheetProtection/>
  <mergeCells count="8">
    <mergeCell ref="B6:P6"/>
    <mergeCell ref="B7:P7"/>
    <mergeCell ref="B8:P8"/>
    <mergeCell ref="B1:O1"/>
    <mergeCell ref="B2:O2"/>
    <mergeCell ref="B3:O3"/>
    <mergeCell ref="B4:P4"/>
    <mergeCell ref="B5:P5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scale="55" r:id="rId2"/>
  <headerFooter alignWithMargins="0">
    <oddFooter>&amp;L&amp;8Fuente: Refinería Dominicana de Petróleo, S.A., y otras Compañías Importadoras Autorizadas.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G17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3" width="2.00390625" style="0" customWidth="1"/>
    <col min="4" max="4" width="26.57421875" style="0" customWidth="1"/>
    <col min="5" max="5" width="11.140625" style="0" bestFit="1" customWidth="1"/>
    <col min="6" max="6" width="11.57421875" style="0" bestFit="1" customWidth="1"/>
    <col min="7" max="7" width="20.00390625" style="0" customWidth="1"/>
  </cols>
  <sheetData>
    <row r="1" spans="4:7" ht="12.75">
      <c r="D1" s="40" t="s">
        <v>48</v>
      </c>
      <c r="E1" s="40"/>
      <c r="F1" s="40"/>
      <c r="G1" s="12"/>
    </row>
    <row r="2" spans="4:7" ht="12.75">
      <c r="D2" s="40" t="s">
        <v>49</v>
      </c>
      <c r="E2" s="40"/>
      <c r="F2" s="40"/>
      <c r="G2" s="12"/>
    </row>
    <row r="3" spans="4:7" ht="12.75">
      <c r="D3" s="40" t="s">
        <v>62</v>
      </c>
      <c r="E3" s="40"/>
      <c r="F3" s="40"/>
      <c r="G3" s="12"/>
    </row>
    <row r="4" spans="4:7" ht="12.75">
      <c r="D4" s="40" t="s">
        <v>65</v>
      </c>
      <c r="E4" s="40"/>
      <c r="F4" s="40"/>
      <c r="G4" s="12"/>
    </row>
    <row r="5" spans="4:6" ht="12.75">
      <c r="D5" s="21" t="s">
        <v>61</v>
      </c>
      <c r="E5" s="21" t="s">
        <v>60</v>
      </c>
      <c r="F5" s="21" t="s">
        <v>50</v>
      </c>
    </row>
    <row r="6" spans="4:6" ht="12.75">
      <c r="D6" s="31" t="s">
        <v>51</v>
      </c>
      <c r="E6" s="2">
        <f>'CONSUMO NACIONAL 2018'!O10</f>
        <v>199270394</v>
      </c>
      <c r="F6" s="2">
        <f>E6/5</f>
        <v>39854078.8</v>
      </c>
    </row>
    <row r="7" spans="4:6" ht="12.75">
      <c r="D7" s="31" t="s">
        <v>0</v>
      </c>
      <c r="E7" s="2">
        <f>'CONSUMO NACIONAL 2018'!O11+'CONSUMO NACIONAL 2018'!O12</f>
        <v>65741709</v>
      </c>
      <c r="F7" s="2">
        <f aca="true" t="shared" si="0" ref="F7:F16">E7/5</f>
        <v>13148341.8</v>
      </c>
    </row>
    <row r="8" spans="4:6" ht="12.75">
      <c r="D8" s="31" t="s">
        <v>1</v>
      </c>
      <c r="E8" s="2">
        <f>'CONSUMO NACIONAL 2018'!O13</f>
        <v>61935582</v>
      </c>
      <c r="F8" s="2">
        <f t="shared" si="0"/>
        <v>12387116.4</v>
      </c>
    </row>
    <row r="9" spans="4:6" ht="12.75">
      <c r="D9" s="31" t="s">
        <v>2</v>
      </c>
      <c r="E9" s="2">
        <f>'CONSUMO NACIONAL 2018'!O15</f>
        <v>1513842</v>
      </c>
      <c r="F9" s="2">
        <f t="shared" si="0"/>
        <v>302768.4</v>
      </c>
    </row>
    <row r="10" spans="4:6" ht="12.75">
      <c r="D10" s="31" t="s">
        <v>3</v>
      </c>
      <c r="E10" s="2">
        <f>'CONSUMO NACIONAL 2018'!O16</f>
        <v>28846934</v>
      </c>
      <c r="F10" s="2">
        <f t="shared" si="0"/>
        <v>5769386.8</v>
      </c>
    </row>
    <row r="11" spans="4:6" ht="12.75">
      <c r="D11" s="31" t="s">
        <v>52</v>
      </c>
      <c r="E11" s="2">
        <f>'CONSUMO NACIONAL 2018'!O17+'CONSUMO NACIONAL 2018'!O18</f>
        <v>83228615</v>
      </c>
      <c r="F11" s="2">
        <f t="shared" si="0"/>
        <v>16645723</v>
      </c>
    </row>
    <row r="12" spans="4:6" ht="15" customHeight="1">
      <c r="D12" s="31" t="s">
        <v>53</v>
      </c>
      <c r="E12" s="2">
        <f>'CONSUMO NACIONAL 2018'!O21+'CONSUMO NACIONAL 2018'!O22+'CONSUMO NACIONAL 2018'!O23</f>
        <v>1537559</v>
      </c>
      <c r="F12" s="2">
        <f t="shared" si="0"/>
        <v>307511.8</v>
      </c>
    </row>
    <row r="13" spans="4:6" ht="12.75">
      <c r="D13" s="31" t="s">
        <v>36</v>
      </c>
      <c r="E13" s="2">
        <f>'CONSUMO NACIONAL 2018'!O24+'CONSUMO NACIONAL 2018'!O25+'CONSUMO NACIONAL 2018'!O26</f>
        <v>25207007</v>
      </c>
      <c r="F13" s="2">
        <f t="shared" si="0"/>
        <v>5041401.4</v>
      </c>
    </row>
    <row r="14" spans="4:6" ht="12.75">
      <c r="D14" s="31" t="s">
        <v>24</v>
      </c>
      <c r="E14" s="2">
        <f>'CONSUMO NACIONAL 2018'!O27+'CONSUMO NACIONAL 2018'!O28+'CONSUMO NACIONAL 2018'!O29</f>
        <v>0</v>
      </c>
      <c r="F14" s="2">
        <f t="shared" si="0"/>
        <v>0</v>
      </c>
    </row>
    <row r="15" spans="4:6" ht="12.75">
      <c r="D15" s="31" t="s">
        <v>54</v>
      </c>
      <c r="E15" s="2">
        <f>'CONSUMO NACIONAL 2018'!O30+'CONSUMO NACIONAL 2018'!O31+'CONSUMO NACIONAL 2018'!O35</f>
        <v>44398338</v>
      </c>
      <c r="F15" s="2">
        <f t="shared" si="0"/>
        <v>8879667.6</v>
      </c>
    </row>
    <row r="16" spans="4:6" ht="12.75">
      <c r="D16" s="31" t="s">
        <v>55</v>
      </c>
      <c r="E16" s="2">
        <f>'CONSUMO NACIONAL 2018'!O32+'CONSUMO NACIONAL 2018'!O33</f>
        <v>7784787</v>
      </c>
      <c r="F16" s="2">
        <f t="shared" si="0"/>
        <v>1556957.4</v>
      </c>
    </row>
    <row r="17" spans="4:6" ht="13.5" thickBot="1">
      <c r="D17" s="22" t="s">
        <v>56</v>
      </c>
      <c r="E17" s="13">
        <f>SUM(E6:E16)</f>
        <v>519464767</v>
      </c>
      <c r="F17" s="13">
        <f>SUM(F6:F16)</f>
        <v>103892953.39999999</v>
      </c>
    </row>
    <row r="18" ht="13.5" thickTop="1"/>
  </sheetData>
  <sheetProtection/>
  <mergeCells count="4">
    <mergeCell ref="D1:F1"/>
    <mergeCell ref="D2:F2"/>
    <mergeCell ref="D3:F3"/>
    <mergeCell ref="D4:F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raquel.paulino</dc:creator>
  <cp:keywords/>
  <dc:description/>
  <cp:lastModifiedBy>miguel.rodriguez</cp:lastModifiedBy>
  <cp:lastPrinted>2018-05-30T15:44:47Z</cp:lastPrinted>
  <dcterms:created xsi:type="dcterms:W3CDTF">2007-05-11T19:30:44Z</dcterms:created>
  <dcterms:modified xsi:type="dcterms:W3CDTF">2018-06-07T11:55:34Z</dcterms:modified>
  <cp:category/>
  <cp:version/>
  <cp:contentType/>
  <cp:contentStatus/>
</cp:coreProperties>
</file>